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311" windowWidth="9570" windowHeight="5175" tabRatio="825" firstSheet="7" activeTab="7"/>
  </bookViews>
  <sheets>
    <sheet name="BALANCE SHEET" sheetId="1" r:id="rId1"/>
    <sheet name="INCOME STATEMENT" sheetId="2" r:id="rId2"/>
    <sheet name="RATIOS" sheetId="3" r:id="rId3"/>
    <sheet name="Business Debt" sheetId="4" r:id="rId4"/>
    <sheet name="CASH FLOW" sheetId="5" r:id="rId5"/>
    <sheet name="Cashflow-memo" sheetId="6" r:id="rId6"/>
    <sheet name="BALANCE SHEET-Memo" sheetId="7" r:id="rId7"/>
    <sheet name="PROFORMA" sheetId="8" r:id="rId8"/>
  </sheets>
  <definedNames>
    <definedName name="_Regression_Int" localSheetId="0" hidden="1">1</definedName>
    <definedName name="_Regression_Int" localSheetId="6" hidden="1">1</definedName>
    <definedName name="BankApproved">'RATIOS'!$D$44</definedName>
    <definedName name="ConstCost">#REF!</definedName>
    <definedName name="CreditMemoBalance" localSheetId="6">'BALANCE SHEET-Memo'!$A$8:$Q$68</definedName>
    <definedName name="CreditMemoBalance">'BALANCE SHEET'!$A$8:$Q$70</definedName>
    <definedName name="CreditMemoIncome">'INCOME STATEMENT'!$A$7:$N$71</definedName>
    <definedName name="CreditMemoRatios">'RATIOS'!$A$23:$J$41</definedName>
    <definedName name="InjectionApproved">'RATIOS'!$E$44</definedName>
    <definedName name="LandCost">#REF!</definedName>
    <definedName name="LogNumber" localSheetId="6">'BALANCE SHEET-Memo'!$G$1</definedName>
    <definedName name="LogNumber">'BALANCE SHEET'!$G$1</definedName>
    <definedName name="NewAddress">#REF!</definedName>
    <definedName name="_xlnm.Print_Area" localSheetId="0">'BALANCE SHEET'!$A$11:$Q$70</definedName>
    <definedName name="_xlnm.Print_Area" localSheetId="6">'BALANCE SHEET-Memo'!$A$11:$Q$68</definedName>
    <definedName name="_xlnm.Print_Area" localSheetId="7">'PROFORMA'!$A$1:$P$35</definedName>
    <definedName name="Print_Area_MI" localSheetId="0">'BALANCE SHEET'!$A$11:$Q$203</definedName>
    <definedName name="Print_Area_MI" localSheetId="6">'BALANCE SHEET-Memo'!$A$11:$Q$201</definedName>
    <definedName name="_xlnm.Print_Titles" localSheetId="0">'BALANCE SHEET'!$1:$10</definedName>
    <definedName name="_xlnm.Print_Titles" localSheetId="6">'BALANCE SHEET-Memo'!$1:$10</definedName>
    <definedName name="Print_Titles_MI" localSheetId="0">'BALANCE SHEET'!$1:$10</definedName>
    <definedName name="Print_Titles_MI" localSheetId="6">'BALANCE SHEET-Memo'!$1:$10</definedName>
    <definedName name="SBAApproved">'RATIOS'!$C$44</definedName>
    <definedName name="SoftCosts">#REF!</definedName>
  </definedNames>
  <calcPr fullCalcOnLoad="1"/>
</workbook>
</file>

<file path=xl/sharedStrings.xml><?xml version="1.0" encoding="utf-8"?>
<sst xmlns="http://schemas.openxmlformats.org/spreadsheetml/2006/main" count="517" uniqueCount="289">
  <si>
    <t>CDC SMALL BUSINESS FINANCE CORP.</t>
  </si>
  <si>
    <t>COMPARATIVE SPREAD</t>
  </si>
  <si>
    <t xml:space="preserve"> </t>
  </si>
  <si>
    <t>SBC NAME</t>
  </si>
  <si>
    <t>Date:</t>
  </si>
  <si>
    <t>ANALYST</t>
  </si>
  <si>
    <t>Time:</t>
  </si>
  <si>
    <t>DATE</t>
  </si>
  <si>
    <t xml:space="preserve">TYPE </t>
  </si>
  <si>
    <t>DEBIT</t>
  </si>
  <si>
    <t>CREDIT</t>
  </si>
  <si>
    <t>PROFORMA</t>
  </si>
  <si>
    <t>%</t>
  </si>
  <si>
    <t>RMA</t>
  </si>
  <si>
    <t>MONTHS</t>
  </si>
  <si>
    <t>BALANCE SHEET</t>
  </si>
  <si>
    <t>$</t>
  </si>
  <si>
    <t>Cash</t>
  </si>
  <si>
    <t>Marketable Securities</t>
  </si>
  <si>
    <t xml:space="preserve">  Total Cash Equivalents</t>
  </si>
  <si>
    <t>Trade A/R</t>
  </si>
  <si>
    <t>Allow. for Doubtful Acc.</t>
  </si>
  <si>
    <t xml:space="preserve">  Net A/R</t>
  </si>
  <si>
    <t>Inventory</t>
  </si>
  <si>
    <t>Other Current:</t>
  </si>
  <si>
    <t>Total Current Assets</t>
  </si>
  <si>
    <t>Building</t>
  </si>
  <si>
    <t>d.</t>
  </si>
  <si>
    <t>Land</t>
  </si>
  <si>
    <t>FF&amp;E</t>
  </si>
  <si>
    <t xml:space="preserve">  Total Fixed Assets</t>
  </si>
  <si>
    <t>Depreciation</t>
  </si>
  <si>
    <t xml:space="preserve">  Net Fixed Assets</t>
  </si>
  <si>
    <t>Due from Officers/SH</t>
  </si>
  <si>
    <t>Due from Employees</t>
  </si>
  <si>
    <t>Due from Related Parties</t>
  </si>
  <si>
    <t>Other Receivables</t>
  </si>
  <si>
    <t xml:space="preserve">  Total Other Rec.</t>
  </si>
  <si>
    <t>Deferred Charges</t>
  </si>
  <si>
    <t>Prepaids/Deposits</t>
  </si>
  <si>
    <t>Taxes Receivable</t>
  </si>
  <si>
    <t>CSV Life Insurance</t>
  </si>
  <si>
    <t>Other Assets</t>
  </si>
  <si>
    <t>Intangible Assets</t>
  </si>
  <si>
    <t>Goodwill</t>
  </si>
  <si>
    <t>TOTAL ASSETS</t>
  </si>
  <si>
    <t>Overdrafts</t>
  </si>
  <si>
    <t>S/T Bank Notes</t>
  </si>
  <si>
    <t>CPLTD-Bank</t>
  </si>
  <si>
    <t>a.</t>
  </si>
  <si>
    <t>CPLTD-SBA</t>
  </si>
  <si>
    <t>b.</t>
  </si>
  <si>
    <t>Trade A/P</t>
  </si>
  <si>
    <t>Taxes Payable</t>
  </si>
  <si>
    <t>Other Payables</t>
  </si>
  <si>
    <t>Accrued Expenses</t>
  </si>
  <si>
    <t xml:space="preserve">  Total Current Liabs</t>
  </si>
  <si>
    <t>Notes Payable-Bank</t>
  </si>
  <si>
    <t>Notes Payable-SBA</t>
  </si>
  <si>
    <t>Deferred Taxes</t>
  </si>
  <si>
    <t>Due to Affiliates/Related</t>
  </si>
  <si>
    <t>Shareholder Debt</t>
  </si>
  <si>
    <t xml:space="preserve">  Subord. Sharehldr Debt</t>
  </si>
  <si>
    <t xml:space="preserve">  Total Liabilities</t>
  </si>
  <si>
    <t>Common Stock</t>
  </si>
  <si>
    <t>Preferred Stock</t>
  </si>
  <si>
    <t>Paid In Capital</t>
  </si>
  <si>
    <t>c.</t>
  </si>
  <si>
    <t>Treasury Stock</t>
  </si>
  <si>
    <t xml:space="preserve">  Total Equity</t>
  </si>
  <si>
    <t>Total Liabilities+Equity</t>
  </si>
  <si>
    <t>|::</t>
  </si>
  <si>
    <t>Projection</t>
  </si>
  <si>
    <t>RMA%</t>
  </si>
  <si>
    <t>Net Sales</t>
  </si>
  <si>
    <t>COGS</t>
  </si>
  <si>
    <t xml:space="preserve">  Gross Profit</t>
  </si>
  <si>
    <t>Acctg &amp; Legal</t>
  </si>
  <si>
    <t>Advertising</t>
  </si>
  <si>
    <t>Auto &amp; Truck</t>
  </si>
  <si>
    <t>Insurance</t>
  </si>
  <si>
    <t>Office Exp. &amp; Postage</t>
  </si>
  <si>
    <t>Officer's Salary</t>
  </si>
  <si>
    <t>Rent - Building</t>
  </si>
  <si>
    <t>Repairs/Maintenance</t>
  </si>
  <si>
    <t>Taxes &amp; Licenses</t>
  </si>
  <si>
    <t>Utilities/Telephone</t>
  </si>
  <si>
    <t>Salaries &amp; Wages</t>
  </si>
  <si>
    <t>All Other Expenses</t>
  </si>
  <si>
    <t>Bad Debt Expense</t>
  </si>
  <si>
    <t>Amortization</t>
  </si>
  <si>
    <t xml:space="preserve">  Total Op. Expenses</t>
  </si>
  <si>
    <t xml:space="preserve">  Operating Income</t>
  </si>
  <si>
    <t>Interest Exp ( )</t>
  </si>
  <si>
    <t>Interest/Dividend Inc.</t>
  </si>
  <si>
    <t xml:space="preserve"> Profit Before Taxes</t>
  </si>
  <si>
    <t xml:space="preserve"> Current Tax Exp.</t>
  </si>
  <si>
    <t xml:space="preserve">     Items</t>
  </si>
  <si>
    <t>Extraord Gain/(Loss)</t>
  </si>
  <si>
    <t xml:space="preserve">    Net Profit</t>
  </si>
  <si>
    <t>Plus:</t>
  </si>
  <si>
    <t xml:space="preserve">     Rent Savings</t>
  </si>
  <si>
    <t xml:space="preserve">     Depreciation</t>
  </si>
  <si>
    <t xml:space="preserve">     Interest</t>
  </si>
  <si>
    <t>Less Debt Service</t>
  </si>
  <si>
    <t xml:space="preserve">     SBA</t>
  </si>
  <si>
    <t xml:space="preserve">     1st Trust Deed</t>
  </si>
  <si>
    <t xml:space="preserve">     Other</t>
  </si>
  <si>
    <t>Cash Flow</t>
  </si>
  <si>
    <t xml:space="preserve">RECONCILIATION OF </t>
  </si>
  <si>
    <t>NET WORTH</t>
  </si>
  <si>
    <t>Beginning Net Worth</t>
  </si>
  <si>
    <t xml:space="preserve">  Net Income</t>
  </si>
  <si>
    <t xml:space="preserve">  Distribs./Draws</t>
  </si>
  <si>
    <t xml:space="preserve">  M1,M2 Adjust.</t>
  </si>
  <si>
    <t xml:space="preserve">  Total Changes to R/E</t>
  </si>
  <si>
    <t>Other Changes to NW</t>
  </si>
  <si>
    <t xml:space="preserve"> Change to Stock/PIC</t>
  </si>
  <si>
    <t xml:space="preserve"> Change in Pref. Stock</t>
  </si>
  <si>
    <t xml:space="preserve"> Change to Paid-In-Capital</t>
  </si>
  <si>
    <t xml:space="preserve"> Change to Treasury Stock</t>
  </si>
  <si>
    <t xml:space="preserve"> Change to Other Equity</t>
  </si>
  <si>
    <t>Total Change in Net Worth</t>
  </si>
  <si>
    <t xml:space="preserve">  Unexplained Variation</t>
  </si>
  <si>
    <t>RATIOS</t>
  </si>
  <si>
    <t>Proforma</t>
  </si>
  <si>
    <t>HIGH</t>
  </si>
  <si>
    <t>MED</t>
  </si>
  <si>
    <t>LOW</t>
  </si>
  <si>
    <t>Revenue Growth</t>
  </si>
  <si>
    <t>N/A</t>
  </si>
  <si>
    <t>Gross Margin</t>
  </si>
  <si>
    <t>Net Profit Margin</t>
  </si>
  <si>
    <t>Return on Equity</t>
  </si>
  <si>
    <t>Sales/Assets</t>
  </si>
  <si>
    <t>Current Ratio</t>
  </si>
  <si>
    <t>Quick Ratio</t>
  </si>
  <si>
    <t>Working Capital</t>
  </si>
  <si>
    <t>Days Receivable</t>
  </si>
  <si>
    <t>Days Payable</t>
  </si>
  <si>
    <t>Inv. Turnover (Days)</t>
  </si>
  <si>
    <t>Tangible Net Worth</t>
  </si>
  <si>
    <t>Debt/TNW</t>
  </si>
  <si>
    <t>Subordinated Debt/TNW</t>
  </si>
  <si>
    <t>Debt Service Coverage</t>
  </si>
  <si>
    <t>Break-Even Point</t>
  </si>
  <si>
    <t>Loan Amount:</t>
  </si>
  <si>
    <t>% Annual Interest Rate</t>
  </si>
  <si>
    <t>Term (in years)</t>
  </si>
  <si>
    <t># of Payments per Year</t>
  </si>
  <si>
    <t>Payment Amount (Actual $)</t>
  </si>
  <si>
    <t>Annual SBA Debt Service</t>
  </si>
  <si>
    <t xml:space="preserve">  (actual $'s)</t>
  </si>
  <si>
    <t>For 504 Loans Only</t>
  </si>
  <si>
    <t>a:  Project Proceeds</t>
  </si>
  <si>
    <t>b:  Reserve Deposit</t>
  </si>
  <si>
    <t>(a * .005)</t>
  </si>
  <si>
    <t>c:  CDC Proc. Fee</t>
  </si>
  <si>
    <t>(a * .015)</t>
  </si>
  <si>
    <t>d: CSA Proc. Fee</t>
  </si>
  <si>
    <t>(a * .0025)</t>
  </si>
  <si>
    <t>e:  Funding Fee</t>
  </si>
  <si>
    <t>f:  Admin. Closing Fees</t>
  </si>
  <si>
    <t>g:  Total</t>
  </si>
  <si>
    <t>(sum a-f)</t>
  </si>
  <si>
    <t>h:  Underwriting</t>
  </si>
  <si>
    <t>(g * .005)</t>
  </si>
  <si>
    <t>i:  Debenture</t>
  </si>
  <si>
    <t xml:space="preserve">    rounded to 000's</t>
  </si>
  <si>
    <t>k: Balance</t>
  </si>
  <si>
    <t>DIRECT CASH FLOW</t>
  </si>
  <si>
    <t>Sales</t>
  </si>
  <si>
    <t>(Inc)Dec in A/R</t>
  </si>
  <si>
    <t xml:space="preserve">  Cash from Sales</t>
  </si>
  <si>
    <t>Cost of Goods Sold</t>
  </si>
  <si>
    <t>Inc(Dec) in A/P</t>
  </si>
  <si>
    <t>(Inc)Dec in Inventory</t>
  </si>
  <si>
    <t xml:space="preserve">  Cash Production Costs</t>
  </si>
  <si>
    <t xml:space="preserve">     Gross Cash Margin</t>
  </si>
  <si>
    <t>SG&amp;A Expense</t>
  </si>
  <si>
    <t>(Inc)Dec in Prepaids</t>
  </si>
  <si>
    <t>Inc(Dec) in Accruals</t>
  </si>
  <si>
    <t xml:space="preserve">  Cash Operating Exp</t>
  </si>
  <si>
    <t xml:space="preserve">  </t>
  </si>
  <si>
    <t xml:space="preserve">     Cash From Operations</t>
  </si>
  <si>
    <t>Misc. Cash Income</t>
  </si>
  <si>
    <t>Income Taxes Paid</t>
  </si>
  <si>
    <t xml:space="preserve">     Net Cash From Operations</t>
  </si>
  <si>
    <t>Interest Expense</t>
  </si>
  <si>
    <t>Dividends/Withdrawals</t>
  </si>
  <si>
    <t xml:space="preserve">  Financing Costs</t>
  </si>
  <si>
    <t xml:space="preserve">     Net Cash Income</t>
  </si>
  <si>
    <t>CPLTD</t>
  </si>
  <si>
    <t xml:space="preserve">     Cash After Debt Amortization</t>
  </si>
  <si>
    <t>Capital Expenditures</t>
  </si>
  <si>
    <t>L/T Investments</t>
  </si>
  <si>
    <t xml:space="preserve">     Financing Surplus (Req)</t>
  </si>
  <si>
    <t>Inc(Dec) S/T Debt</t>
  </si>
  <si>
    <t>Inc(Dec)L/T Debt</t>
  </si>
  <si>
    <t>Inc(Dec)Equity</t>
  </si>
  <si>
    <t>Effect of Acctg Change</t>
  </si>
  <si>
    <t>Extraord. Gain/Loss</t>
  </si>
  <si>
    <t xml:space="preserve">     Total External Financing</t>
  </si>
  <si>
    <t>Cash After Financing</t>
  </si>
  <si>
    <t>Actual Change in Cash</t>
  </si>
  <si>
    <t>TOTAL</t>
  </si>
  <si>
    <t>SALES</t>
  </si>
  <si>
    <t>GROSS PROFIT</t>
  </si>
  <si>
    <t>Current Tax Exp.</t>
  </si>
  <si>
    <t>Meals, Ent, Travel</t>
  </si>
  <si>
    <t>Equipment Leases</t>
  </si>
  <si>
    <t>CASH COVERAGE RATIO</t>
  </si>
  <si>
    <t>ESTIMATED INCOME/EXPENSES</t>
  </si>
  <si>
    <t>FOR:</t>
  </si>
  <si>
    <t>AS OF:</t>
  </si>
  <si>
    <t>MONTH/YEAR</t>
  </si>
  <si>
    <t>COST OF SALES</t>
  </si>
  <si>
    <t>Misc. Income/Exp.</t>
  </si>
  <si>
    <t>Profit Before Extraord</t>
  </si>
  <si>
    <t>Owner's Equity</t>
  </si>
  <si>
    <t>Operating Cycle</t>
  </si>
  <si>
    <t>d</t>
  </si>
  <si>
    <t>abc</t>
  </si>
  <si>
    <t>Available Cash Flow</t>
  </si>
  <si>
    <t>Total Debt Service</t>
  </si>
  <si>
    <t>Coverage Margin</t>
  </si>
  <si>
    <t>Deferred Service Contracts</t>
  </si>
  <si>
    <t>F/S</t>
  </si>
  <si>
    <t>Bank</t>
  </si>
  <si>
    <t>Retained Earnings</t>
  </si>
  <si>
    <t>Employee Benefits</t>
  </si>
  <si>
    <t>Notes Payable</t>
  </si>
  <si>
    <t>S-T Notes Receivable</t>
  </si>
  <si>
    <t>Line of Credit</t>
  </si>
  <si>
    <t>Net Profit</t>
  </si>
  <si>
    <t>Borrower</t>
  </si>
  <si>
    <t>FILE NAME</t>
  </si>
  <si>
    <t>FYE</t>
  </si>
  <si>
    <t>SD5375</t>
  </si>
  <si>
    <t xml:space="preserve">     Salary</t>
  </si>
  <si>
    <t xml:space="preserve">   Draw/Distributions</t>
  </si>
  <si>
    <t>Jan</t>
  </si>
  <si>
    <t>Feb</t>
  </si>
  <si>
    <t>Mar</t>
  </si>
  <si>
    <t xml:space="preserve">April </t>
  </si>
  <si>
    <t>May</t>
  </si>
  <si>
    <t xml:space="preserve">June </t>
  </si>
  <si>
    <t xml:space="preserve">July </t>
  </si>
  <si>
    <t>Aug</t>
  </si>
  <si>
    <t xml:space="preserve">Sept </t>
  </si>
  <si>
    <t xml:space="preserve">Oct </t>
  </si>
  <si>
    <t>Nov</t>
  </si>
  <si>
    <t xml:space="preserve">Dec </t>
  </si>
  <si>
    <t>bd.</t>
  </si>
  <si>
    <t>Tax Return</t>
  </si>
  <si>
    <t>Adjusted Cash Flow</t>
  </si>
  <si>
    <t>Creditor</t>
  </si>
  <si>
    <t>Current Balance</t>
  </si>
  <si>
    <t>Monthly Payment</t>
  </si>
  <si>
    <t>Maturity</t>
  </si>
  <si>
    <t>Use</t>
  </si>
  <si>
    <t xml:space="preserve">    Officer Salary</t>
  </si>
  <si>
    <t>Months</t>
  </si>
  <si>
    <t>Business Debt</t>
  </si>
  <si>
    <t>Difference</t>
  </si>
  <si>
    <t>Total Project</t>
  </si>
  <si>
    <t>Date</t>
  </si>
  <si>
    <t># Months</t>
  </si>
  <si>
    <t>Reporting Source</t>
  </si>
  <si>
    <t>+ Depreciation</t>
  </si>
  <si>
    <t>+ Rent</t>
  </si>
  <si>
    <t>+ Interest</t>
  </si>
  <si>
    <t>+ Officer's Salary</t>
  </si>
  <si>
    <t>+ Other</t>
  </si>
  <si>
    <t>- 504 Debt Service</t>
  </si>
  <si>
    <t>- Existing Debt Service</t>
  </si>
  <si>
    <t>- Owner's Compensation</t>
  </si>
  <si>
    <t>Debt Coverage Margin</t>
  </si>
  <si>
    <t>Excess Cash Flow</t>
  </si>
  <si>
    <t>Other Addback</t>
  </si>
  <si>
    <t>Loss on Sale of Assets</t>
  </si>
  <si>
    <t>Commissions</t>
  </si>
  <si>
    <t>Undeposited Funds</t>
  </si>
  <si>
    <t>Light Speed Fine Art, Inc. (ONLY)</t>
  </si>
  <si>
    <t>RI1464</t>
  </si>
  <si>
    <t>Customer Deposits</t>
  </si>
  <si>
    <t>Credit Card Discounts</t>
  </si>
  <si>
    <t>Delivery &amp; Freight</t>
  </si>
  <si>
    <t>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</si>
</sst>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#,##0.0_);\(#,##0.0\)"/>
    <numFmt numFmtId="167" formatCode="0.0_)"/>
    <numFmt numFmtId="168" formatCode="0.00_)"/>
    <numFmt numFmtId="169" formatCode="0.0%"/>
    <numFmt numFmtId="170" formatCode="0.0"/>
    <numFmt numFmtId="171" formatCode="0.000"/>
    <numFmt numFmtId="172" formatCode="0.000%"/>
    <numFmt numFmtId="173" formatCode="_(* #,##0.0_);_(* \(#,##0.0\);_(* &quot;-&quot;??_);_(@_)"/>
    <numFmt numFmtId="174" formatCode="_(* #,##0_);_(* \(#,##0\);_(* &quot;-&quot;??_);_(@_)"/>
    <numFmt numFmtId="175" formatCode="&quot;$&quot;#,##0.000_);[Red]\(&quot;$&quot;#,##0.000\)"/>
    <numFmt numFmtId="176" formatCode="&quot;$&quot;#,##0.0_);[Red]\(&quot;$&quot;#,##0.0\)"/>
    <numFmt numFmtId="177" formatCode="_(&quot;$&quot;* #,##0.000_);_(&quot;$&quot;* \(#,##0.000\);_(&quot;$&quot;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0_)"/>
    <numFmt numFmtId="181" formatCode="0.00000"/>
    <numFmt numFmtId="182" formatCode="0.0000"/>
    <numFmt numFmtId="183" formatCode="0.000000"/>
    <numFmt numFmtId="184" formatCode="0.0000000"/>
    <numFmt numFmtId="185" formatCode="#,##0.0"/>
    <numFmt numFmtId="186" formatCode="_(* #,##0.000_);_(* \(#,##0.000\);_(* &quot;-&quot;??_);_(@_)"/>
    <numFmt numFmtId="187" formatCode="_(* #,##0.0000_);_(* \(#,##0.0000\);_(* &quot;-&quot;??_);_(@_)"/>
    <numFmt numFmtId="188" formatCode="0.000_)"/>
    <numFmt numFmtId="189" formatCode="0.0000_)"/>
    <numFmt numFmtId="190" formatCode="m/d"/>
    <numFmt numFmtId="191" formatCode="mm/dd/yy"/>
    <numFmt numFmtId="192" formatCode="_(* #,##0.0_);_(* \(#,##0.0\);_(* &quot;-&quot;?_);_(@_)"/>
    <numFmt numFmtId="193" formatCode="[$-409]dddd\,\ mmmm\ dd\,\ yyyy"/>
    <numFmt numFmtId="194" formatCode="m/d/yy;@"/>
  </numFmts>
  <fonts count="27">
    <font>
      <sz val="12"/>
      <name val="CG Times (W1)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Verdana"/>
      <family val="2"/>
    </font>
    <font>
      <sz val="12"/>
      <color indexed="32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6"/>
      <name val="Verdana"/>
      <family val="2"/>
    </font>
    <font>
      <b/>
      <u val="single"/>
      <sz val="16"/>
      <name val="Verdana"/>
      <family val="2"/>
    </font>
    <font>
      <u val="single"/>
      <sz val="12"/>
      <name val="Verdana"/>
      <family val="2"/>
    </font>
    <font>
      <sz val="9"/>
      <name val="Arial"/>
      <family val="2"/>
    </font>
    <font>
      <sz val="8"/>
      <name val="CG Times (W1)"/>
      <family val="1"/>
    </font>
    <font>
      <sz val="12"/>
      <name val="Arial"/>
      <family val="2"/>
    </font>
    <font>
      <sz val="10"/>
      <color indexed="5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32"/>
      <name val="Arial"/>
      <family val="2"/>
    </font>
    <font>
      <sz val="12"/>
      <color indexed="32"/>
      <name val="Arial"/>
      <family val="2"/>
    </font>
    <font>
      <sz val="11"/>
      <color indexed="32"/>
      <name val="Arial"/>
      <family val="2"/>
    </font>
    <font>
      <b/>
      <i/>
      <sz val="11"/>
      <color indexed="32"/>
      <name val="Arial"/>
      <family val="2"/>
    </font>
    <font>
      <sz val="10"/>
      <color indexed="32"/>
      <name val="Arial"/>
      <family val="2"/>
    </font>
    <font>
      <u val="single"/>
      <sz val="9"/>
      <color indexed="12"/>
      <name val="CG Times (W1)"/>
      <family val="1"/>
    </font>
    <font>
      <u val="single"/>
      <sz val="9"/>
      <color indexed="36"/>
      <name val="CG Times (W1)"/>
      <family val="1"/>
    </font>
    <font>
      <sz val="11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164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90">
    <xf numFmtId="164" fontId="0" fillId="0" borderId="0" xfId="0" applyAlignment="1">
      <alignment/>
    </xf>
    <xf numFmtId="169" fontId="0" fillId="0" borderId="0" xfId="0" applyNumberFormat="1" applyAlignment="1">
      <alignment/>
    </xf>
    <xf numFmtId="164" fontId="5" fillId="0" borderId="0" xfId="0" applyFont="1" applyAlignment="1">
      <alignment/>
    </xf>
    <xf numFmtId="169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6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6" fillId="2" borderId="1" xfId="0" applyFont="1" applyFill="1" applyBorder="1" applyAlignment="1">
      <alignment/>
    </xf>
    <xf numFmtId="164" fontId="5" fillId="2" borderId="2" xfId="0" applyFont="1" applyFill="1" applyBorder="1" applyAlignment="1">
      <alignment/>
    </xf>
    <xf numFmtId="164" fontId="6" fillId="0" borderId="7" xfId="0" applyFont="1" applyBorder="1" applyAlignment="1">
      <alignment/>
    </xf>
    <xf numFmtId="174" fontId="5" fillId="0" borderId="0" xfId="15" applyNumberFormat="1" applyFont="1" applyBorder="1" applyAlignment="1">
      <alignment/>
    </xf>
    <xf numFmtId="164" fontId="6" fillId="0" borderId="8" xfId="0" applyFont="1" applyBorder="1" applyAlignment="1">
      <alignment/>
    </xf>
    <xf numFmtId="164" fontId="5" fillId="0" borderId="9" xfId="0" applyFont="1" applyBorder="1" applyAlignment="1">
      <alignment/>
    </xf>
    <xf numFmtId="164" fontId="6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4" fontId="4" fillId="3" borderId="12" xfId="0" applyFont="1" applyFill="1" applyBorder="1" applyAlignment="1">
      <alignment/>
    </xf>
    <xf numFmtId="164" fontId="1" fillId="0" borderId="14" xfId="0" applyFont="1" applyBorder="1" applyAlignment="1">
      <alignment/>
    </xf>
    <xf numFmtId="164" fontId="1" fillId="0" borderId="15" xfId="0" applyFont="1" applyBorder="1" applyAlignment="1">
      <alignment/>
    </xf>
    <xf numFmtId="164" fontId="4" fillId="0" borderId="0" xfId="0" applyFont="1" applyAlignment="1">
      <alignment/>
    </xf>
    <xf numFmtId="164" fontId="14" fillId="0" borderId="0" xfId="0" applyFont="1" applyAlignment="1">
      <alignment/>
    </xf>
    <xf numFmtId="164" fontId="4" fillId="0" borderId="15" xfId="0" applyFont="1" applyBorder="1" applyAlignment="1">
      <alignment/>
    </xf>
    <xf numFmtId="164" fontId="4" fillId="0" borderId="16" xfId="0" applyFont="1" applyBorder="1" applyAlignment="1">
      <alignment/>
    </xf>
    <xf numFmtId="164" fontId="15" fillId="3" borderId="12" xfId="0" applyFont="1" applyFill="1" applyBorder="1" applyAlignment="1">
      <alignment/>
    </xf>
    <xf numFmtId="164" fontId="15" fillId="0" borderId="12" xfId="0" applyFont="1" applyBorder="1" applyAlignment="1">
      <alignment/>
    </xf>
    <xf numFmtId="164" fontId="15" fillId="0" borderId="13" xfId="0" applyFont="1" applyBorder="1" applyAlignment="1">
      <alignment/>
    </xf>
    <xf numFmtId="14" fontId="15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4" fillId="3" borderId="12" xfId="0" applyNumberFormat="1" applyFont="1" applyFill="1" applyBorder="1" applyAlignment="1">
      <alignment/>
    </xf>
    <xf numFmtId="14" fontId="4" fillId="0" borderId="12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92" fontId="16" fillId="0" borderId="17" xfId="0" applyNumberFormat="1" applyFont="1" applyBorder="1" applyAlignment="1" applyProtection="1">
      <alignment/>
      <protection/>
    </xf>
    <xf numFmtId="164" fontId="16" fillId="0" borderId="0" xfId="0" applyFont="1" applyAlignment="1">
      <alignment/>
    </xf>
    <xf numFmtId="169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169" fontId="16" fillId="0" borderId="17" xfId="0" applyNumberFormat="1" applyFont="1" applyBorder="1" applyAlignment="1">
      <alignment/>
    </xf>
    <xf numFmtId="164" fontId="16" fillId="0" borderId="17" xfId="0" applyFont="1" applyBorder="1" applyAlignment="1">
      <alignment/>
    </xf>
    <xf numFmtId="164" fontId="17" fillId="0" borderId="0" xfId="0" applyFont="1" applyAlignment="1">
      <alignment/>
    </xf>
    <xf numFmtId="14" fontId="16" fillId="0" borderId="0" xfId="0" applyNumberFormat="1" applyFont="1" applyAlignment="1">
      <alignment horizontal="right"/>
    </xf>
    <xf numFmtId="190" fontId="16" fillId="0" borderId="0" xfId="0" applyNumberFormat="1" applyFont="1" applyAlignment="1">
      <alignment/>
    </xf>
    <xf numFmtId="18" fontId="16" fillId="0" borderId="0" xfId="0" applyNumberFormat="1" applyFont="1" applyAlignment="1">
      <alignment/>
    </xf>
    <xf numFmtId="164" fontId="16" fillId="0" borderId="14" xfId="0" applyFont="1" applyBorder="1" applyAlignment="1">
      <alignment/>
    </xf>
    <xf numFmtId="164" fontId="16" fillId="0" borderId="15" xfId="0" applyFont="1" applyBorder="1" applyAlignment="1">
      <alignment/>
    </xf>
    <xf numFmtId="14" fontId="16" fillId="0" borderId="15" xfId="0" applyNumberFormat="1" applyFont="1" applyBorder="1" applyAlignment="1">
      <alignment horizontal="centerContinuous"/>
    </xf>
    <xf numFmtId="164" fontId="16" fillId="0" borderId="15" xfId="0" applyFont="1" applyBorder="1" applyAlignment="1">
      <alignment horizontal="centerContinuous"/>
    </xf>
    <xf numFmtId="167" fontId="16" fillId="0" borderId="15" xfId="0" applyNumberFormat="1" applyFont="1" applyBorder="1" applyAlignment="1">
      <alignment/>
    </xf>
    <xf numFmtId="169" fontId="16" fillId="0" borderId="15" xfId="0" applyNumberFormat="1" applyFont="1" applyBorder="1" applyAlignment="1">
      <alignment/>
    </xf>
    <xf numFmtId="164" fontId="16" fillId="0" borderId="16" xfId="0" applyFont="1" applyBorder="1" applyAlignment="1">
      <alignment/>
    </xf>
    <xf numFmtId="164" fontId="16" fillId="0" borderId="18" xfId="0" applyFont="1" applyBorder="1" applyAlignment="1">
      <alignment/>
    </xf>
    <xf numFmtId="164" fontId="16" fillId="0" borderId="0" xfId="0" applyFont="1" applyAlignment="1">
      <alignment horizontal="centerContinuous"/>
    </xf>
    <xf numFmtId="164" fontId="16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164" fontId="16" fillId="0" borderId="19" xfId="0" applyFont="1" applyBorder="1" applyAlignment="1">
      <alignment horizontal="center"/>
    </xf>
    <xf numFmtId="164" fontId="16" fillId="0" borderId="20" xfId="0" applyFont="1" applyBorder="1" applyAlignment="1">
      <alignment/>
    </xf>
    <xf numFmtId="164" fontId="16" fillId="0" borderId="17" xfId="0" applyFont="1" applyBorder="1" applyAlignment="1">
      <alignment horizontal="centerContinuous"/>
    </xf>
    <xf numFmtId="167" fontId="16" fillId="0" borderId="17" xfId="0" applyNumberFormat="1" applyFont="1" applyBorder="1" applyAlignment="1">
      <alignment/>
    </xf>
    <xf numFmtId="1" fontId="16" fillId="0" borderId="21" xfId="0" applyNumberFormat="1" applyFont="1" applyBorder="1" applyAlignment="1">
      <alignment horizontal="center"/>
    </xf>
    <xf numFmtId="164" fontId="18" fillId="0" borderId="0" xfId="0" applyFont="1" applyAlignment="1">
      <alignment/>
    </xf>
    <xf numFmtId="164" fontId="16" fillId="0" borderId="0" xfId="0" applyFont="1" applyAlignment="1">
      <alignment horizontal="right"/>
    </xf>
    <xf numFmtId="49" fontId="16" fillId="0" borderId="17" xfId="0" applyNumberFormat="1" applyFont="1" applyBorder="1" applyAlignment="1">
      <alignment horizontal="right"/>
    </xf>
    <xf numFmtId="164" fontId="16" fillId="0" borderId="17" xfId="0" applyFont="1" applyBorder="1" applyAlignment="1">
      <alignment horizontal="right"/>
    </xf>
    <xf numFmtId="169" fontId="16" fillId="0" borderId="17" xfId="0" applyNumberFormat="1" applyFont="1" applyBorder="1" applyAlignment="1">
      <alignment horizontal="right"/>
    </xf>
    <xf numFmtId="167" fontId="16" fillId="0" borderId="17" xfId="0" applyNumberFormat="1" applyFont="1" applyBorder="1" applyAlignment="1">
      <alignment horizontal="right"/>
    </xf>
    <xf numFmtId="170" fontId="16" fillId="0" borderId="17" xfId="0" applyNumberFormat="1" applyFont="1" applyBorder="1" applyAlignment="1">
      <alignment horizontal="right"/>
    </xf>
    <xf numFmtId="192" fontId="16" fillId="0" borderId="0" xfId="0" applyNumberFormat="1" applyFont="1" applyAlignment="1">
      <alignment/>
    </xf>
    <xf numFmtId="169" fontId="4" fillId="2" borderId="0" xfId="21" applyNumberFormat="1" applyFont="1" applyFill="1" applyAlignment="1" applyProtection="1">
      <alignment/>
      <protection/>
    </xf>
    <xf numFmtId="170" fontId="17" fillId="0" borderId="0" xfId="0" applyNumberFormat="1" applyFont="1" applyAlignment="1">
      <alignment/>
    </xf>
    <xf numFmtId="192" fontId="17" fillId="0" borderId="0" xfId="0" applyNumberFormat="1" applyFont="1" applyAlignment="1">
      <alignment/>
    </xf>
    <xf numFmtId="170" fontId="16" fillId="0" borderId="0" xfId="0" applyNumberFormat="1" applyFont="1" applyAlignment="1">
      <alignment/>
    </xf>
    <xf numFmtId="192" fontId="16" fillId="0" borderId="0" xfId="0" applyNumberFormat="1" applyFont="1" applyAlignment="1" applyProtection="1">
      <alignment/>
      <protection/>
    </xf>
    <xf numFmtId="170" fontId="17" fillId="0" borderId="0" xfId="0" applyNumberFormat="1" applyFont="1" applyAlignment="1" applyProtection="1">
      <alignment/>
      <protection/>
    </xf>
    <xf numFmtId="192" fontId="17" fillId="0" borderId="0" xfId="0" applyNumberFormat="1" applyFont="1" applyAlignment="1" applyProtection="1">
      <alignment/>
      <protection/>
    </xf>
    <xf numFmtId="170" fontId="17" fillId="0" borderId="17" xfId="0" applyNumberFormat="1" applyFont="1" applyBorder="1" applyAlignment="1" applyProtection="1">
      <alignment/>
      <protection/>
    </xf>
    <xf numFmtId="192" fontId="17" fillId="0" borderId="17" xfId="0" applyNumberFormat="1" applyFont="1" applyBorder="1" applyAlignment="1" applyProtection="1">
      <alignment/>
      <protection/>
    </xf>
    <xf numFmtId="170" fontId="16" fillId="0" borderId="17" xfId="0" applyNumberFormat="1" applyFont="1" applyBorder="1" applyAlignment="1">
      <alignment/>
    </xf>
    <xf numFmtId="2" fontId="16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9" fontId="14" fillId="4" borderId="0" xfId="0" applyNumberFormat="1" applyFont="1" applyFill="1" applyAlignment="1">
      <alignment/>
    </xf>
    <xf numFmtId="192" fontId="19" fillId="0" borderId="6" xfId="0" applyNumberFormat="1" applyFont="1" applyBorder="1" applyAlignment="1">
      <alignment/>
    </xf>
    <xf numFmtId="164" fontId="20" fillId="0" borderId="0" xfId="0" applyFont="1" applyAlignment="1">
      <alignment/>
    </xf>
    <xf numFmtId="164" fontId="21" fillId="0" borderId="14" xfId="0" applyFont="1" applyBorder="1" applyAlignment="1">
      <alignment/>
    </xf>
    <xf numFmtId="164" fontId="21" fillId="0" borderId="15" xfId="0" applyFont="1" applyBorder="1" applyAlignment="1">
      <alignment/>
    </xf>
    <xf numFmtId="164" fontId="21" fillId="0" borderId="16" xfId="0" applyFont="1" applyBorder="1" applyAlignment="1">
      <alignment/>
    </xf>
    <xf numFmtId="164" fontId="21" fillId="0" borderId="0" xfId="0" applyFont="1" applyAlignment="1">
      <alignment/>
    </xf>
    <xf numFmtId="164" fontId="21" fillId="0" borderId="18" xfId="0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19" xfId="0" applyFont="1" applyBorder="1" applyAlignment="1">
      <alignment/>
    </xf>
    <xf numFmtId="164" fontId="21" fillId="0" borderId="20" xfId="0" applyFont="1" applyBorder="1" applyAlignment="1">
      <alignment/>
    </xf>
    <xf numFmtId="164" fontId="12" fillId="0" borderId="17" xfId="0" applyFont="1" applyBorder="1" applyAlignment="1">
      <alignment/>
    </xf>
    <xf numFmtId="164" fontId="21" fillId="0" borderId="17" xfId="0" applyFont="1" applyBorder="1" applyAlignment="1">
      <alignment/>
    </xf>
    <xf numFmtId="1" fontId="21" fillId="0" borderId="21" xfId="0" applyNumberFormat="1" applyFont="1" applyBorder="1" applyAlignment="1">
      <alignment horizontal="center"/>
    </xf>
    <xf numFmtId="164" fontId="22" fillId="0" borderId="0" xfId="0" applyFont="1" applyAlignment="1">
      <alignment/>
    </xf>
    <xf numFmtId="164" fontId="21" fillId="0" borderId="22" xfId="0" applyFont="1" applyBorder="1" applyAlignment="1">
      <alignment/>
    </xf>
    <xf numFmtId="170" fontId="21" fillId="0" borderId="22" xfId="0" applyNumberFormat="1" applyFont="1" applyBorder="1" applyAlignment="1">
      <alignment/>
    </xf>
    <xf numFmtId="192" fontId="21" fillId="0" borderId="0" xfId="0" applyNumberFormat="1" applyFont="1" applyAlignment="1">
      <alignment/>
    </xf>
    <xf numFmtId="169" fontId="23" fillId="2" borderId="0" xfId="21" applyNumberFormat="1" applyFont="1" applyFill="1" applyAlignment="1" applyProtection="1">
      <alignment/>
      <protection/>
    </xf>
    <xf numFmtId="192" fontId="21" fillId="0" borderId="0" xfId="0" applyNumberFormat="1" applyFont="1" applyAlignment="1" applyProtection="1">
      <alignment/>
      <protection/>
    </xf>
    <xf numFmtId="170" fontId="21" fillId="0" borderId="0" xfId="0" applyNumberFormat="1" applyFont="1" applyAlignment="1">
      <alignment/>
    </xf>
    <xf numFmtId="192" fontId="21" fillId="0" borderId="17" xfId="0" applyNumberFormat="1" applyFont="1" applyBorder="1" applyAlignment="1">
      <alignment horizontal="right"/>
    </xf>
    <xf numFmtId="192" fontId="21" fillId="0" borderId="17" xfId="0" applyNumberFormat="1" applyFont="1" applyBorder="1" applyAlignment="1">
      <alignment/>
    </xf>
    <xf numFmtId="192" fontId="21" fillId="0" borderId="17" xfId="0" applyNumberFormat="1" applyFont="1" applyBorder="1" applyAlignment="1" applyProtection="1">
      <alignment/>
      <protection/>
    </xf>
    <xf numFmtId="170" fontId="21" fillId="0" borderId="17" xfId="0" applyNumberFormat="1" applyFont="1" applyBorder="1" applyAlignment="1">
      <alignment/>
    </xf>
    <xf numFmtId="192" fontId="21" fillId="0" borderId="0" xfId="0" applyNumberFormat="1" applyFont="1" applyAlignment="1" applyProtection="1">
      <alignment horizontal="center"/>
      <protection/>
    </xf>
    <xf numFmtId="164" fontId="19" fillId="0" borderId="0" xfId="0" applyFont="1" applyAlignment="1">
      <alignment/>
    </xf>
    <xf numFmtId="192" fontId="19" fillId="0" borderId="0" xfId="0" applyNumberFormat="1" applyFont="1" applyAlignment="1" applyProtection="1">
      <alignment/>
      <protection/>
    </xf>
    <xf numFmtId="192" fontId="19" fillId="0" borderId="6" xfId="0" applyNumberFormat="1" applyFont="1" applyBorder="1" applyAlignment="1" applyProtection="1">
      <alignment/>
      <protection/>
    </xf>
    <xf numFmtId="164" fontId="21" fillId="0" borderId="6" xfId="0" applyFont="1" applyBorder="1" applyAlignment="1">
      <alignment/>
    </xf>
    <xf numFmtId="170" fontId="21" fillId="0" borderId="6" xfId="0" applyNumberFormat="1" applyFont="1" applyBorder="1" applyAlignment="1">
      <alignment/>
    </xf>
    <xf numFmtId="192" fontId="19" fillId="0" borderId="0" xfId="0" applyNumberFormat="1" applyFont="1" applyAlignment="1">
      <alignment/>
    </xf>
    <xf numFmtId="192" fontId="21" fillId="0" borderId="0" xfId="0" applyNumberFormat="1" applyFont="1" applyBorder="1" applyAlignment="1">
      <alignment/>
    </xf>
    <xf numFmtId="192" fontId="19" fillId="0" borderId="12" xfId="0" applyNumberFormat="1" applyFont="1" applyBorder="1" applyAlignment="1">
      <alignment/>
    </xf>
    <xf numFmtId="192" fontId="19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14" fontId="17" fillId="0" borderId="11" xfId="0" applyNumberFormat="1" applyFont="1" applyBorder="1" applyAlignment="1">
      <alignment/>
    </xf>
    <xf numFmtId="14" fontId="17" fillId="0" borderId="12" xfId="0" applyNumberFormat="1" applyFont="1" applyBorder="1" applyAlignment="1">
      <alignment/>
    </xf>
    <xf numFmtId="14" fontId="17" fillId="0" borderId="13" xfId="0" applyNumberFormat="1" applyFont="1" applyBorder="1" applyAlignment="1">
      <alignment horizontal="right"/>
    </xf>
    <xf numFmtId="170" fontId="16" fillId="0" borderId="17" xfId="0" applyNumberFormat="1" applyFont="1" applyBorder="1" applyAlignment="1" applyProtection="1">
      <alignment/>
      <protection/>
    </xf>
    <xf numFmtId="170" fontId="16" fillId="0" borderId="0" xfId="0" applyNumberFormat="1" applyFont="1" applyAlignment="1" applyProtection="1">
      <alignment/>
      <protection/>
    </xf>
    <xf numFmtId="170" fontId="16" fillId="0" borderId="6" xfId="0" applyNumberFormat="1" applyFont="1" applyBorder="1" applyAlignment="1" applyProtection="1">
      <alignment/>
      <protection/>
    </xf>
    <xf numFmtId="164" fontId="17" fillId="0" borderId="14" xfId="0" applyFont="1" applyBorder="1" applyAlignment="1">
      <alignment/>
    </xf>
    <xf numFmtId="164" fontId="17" fillId="0" borderId="15" xfId="0" applyFont="1" applyBorder="1" applyAlignment="1">
      <alignment/>
    </xf>
    <xf numFmtId="164" fontId="17" fillId="0" borderId="15" xfId="0" applyFont="1" applyBorder="1" applyAlignment="1">
      <alignment horizontal="right"/>
    </xf>
    <xf numFmtId="164" fontId="17" fillId="0" borderId="16" xfId="0" applyFont="1" applyBorder="1" applyAlignment="1">
      <alignment horizontal="right"/>
    </xf>
    <xf numFmtId="14" fontId="17" fillId="0" borderId="20" xfId="0" applyNumberFormat="1" applyFont="1" applyBorder="1" applyAlignment="1">
      <alignment horizontal="right"/>
    </xf>
    <xf numFmtId="14" fontId="17" fillId="0" borderId="17" xfId="0" applyNumberFormat="1" applyFont="1" applyBorder="1" applyAlignment="1">
      <alignment horizontal="right"/>
    </xf>
    <xf numFmtId="164" fontId="17" fillId="0" borderId="17" xfId="0" applyFont="1" applyBorder="1" applyAlignment="1">
      <alignment horizontal="right"/>
    </xf>
    <xf numFmtId="164" fontId="17" fillId="0" borderId="21" xfId="0" applyFont="1" applyBorder="1" applyAlignment="1">
      <alignment horizontal="right"/>
    </xf>
    <xf numFmtId="169" fontId="16" fillId="0" borderId="0" xfId="0" applyNumberFormat="1" applyFont="1" applyAlignment="1">
      <alignment horizontal="right"/>
    </xf>
    <xf numFmtId="1" fontId="16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164" fontId="21" fillId="0" borderId="15" xfId="0" applyFont="1" applyBorder="1" applyAlignment="1">
      <alignment horizontal="centerContinuous"/>
    </xf>
    <xf numFmtId="164" fontId="21" fillId="0" borderId="0" xfId="0" applyFont="1" applyBorder="1" applyAlignment="1">
      <alignment horizontal="centerContinuous"/>
    </xf>
    <xf numFmtId="164" fontId="21" fillId="0" borderId="21" xfId="0" applyFont="1" applyBorder="1" applyAlignment="1">
      <alignment/>
    </xf>
    <xf numFmtId="39" fontId="17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21" fillId="0" borderId="0" xfId="21" applyNumberFormat="1" applyFont="1" applyAlignment="1">
      <alignment/>
    </xf>
    <xf numFmtId="164" fontId="16" fillId="0" borderId="0" xfId="0" applyFont="1" applyAlignment="1">
      <alignment horizontal="center"/>
    </xf>
    <xf numFmtId="7" fontId="16" fillId="0" borderId="0" xfId="17" applyNumberFormat="1" applyFont="1" applyAlignment="1">
      <alignment/>
    </xf>
    <xf numFmtId="172" fontId="16" fillId="0" borderId="0" xfId="21" applyNumberFormat="1" applyFont="1" applyAlignment="1">
      <alignment/>
    </xf>
    <xf numFmtId="44" fontId="16" fillId="0" borderId="0" xfId="17" applyFont="1" applyAlignment="1">
      <alignment/>
    </xf>
    <xf numFmtId="44" fontId="16" fillId="0" borderId="0" xfId="17" applyFont="1" applyAlignment="1" applyProtection="1">
      <alignment/>
      <protection/>
    </xf>
    <xf numFmtId="164" fontId="4" fillId="2" borderId="23" xfId="0" applyFont="1" applyFill="1" applyBorder="1" applyAlignment="1">
      <alignment/>
    </xf>
    <xf numFmtId="164" fontId="4" fillId="2" borderId="24" xfId="0" applyFont="1" applyFill="1" applyBorder="1" applyAlignment="1">
      <alignment/>
    </xf>
    <xf numFmtId="164" fontId="4" fillId="2" borderId="25" xfId="0" applyFont="1" applyFill="1" applyBorder="1" applyAlignment="1">
      <alignment/>
    </xf>
    <xf numFmtId="164" fontId="4" fillId="0" borderId="25" xfId="0" applyFont="1" applyBorder="1" applyAlignment="1">
      <alignment/>
    </xf>
    <xf numFmtId="2" fontId="4" fillId="2" borderId="25" xfId="0" applyNumberFormat="1" applyFont="1" applyFill="1" applyBorder="1" applyAlignment="1">
      <alignment/>
    </xf>
    <xf numFmtId="194" fontId="4" fillId="2" borderId="23" xfId="0" applyNumberFormat="1" applyFont="1" applyFill="1" applyBorder="1" applyAlignment="1">
      <alignment/>
    </xf>
    <xf numFmtId="1" fontId="4" fillId="2" borderId="24" xfId="0" applyNumberFormat="1" applyFont="1" applyFill="1" applyBorder="1" applyAlignment="1">
      <alignment/>
    </xf>
    <xf numFmtId="164" fontId="4" fillId="0" borderId="26" xfId="0" applyFont="1" applyBorder="1" applyAlignment="1" quotePrefix="1">
      <alignment/>
    </xf>
    <xf numFmtId="164" fontId="1" fillId="0" borderId="26" xfId="0" applyFont="1" applyBorder="1" applyAlignment="1">
      <alignment/>
    </xf>
    <xf numFmtId="164" fontId="1" fillId="0" borderId="26" xfId="0" applyFont="1" applyBorder="1" applyAlignment="1" quotePrefix="1">
      <alignment/>
    </xf>
    <xf numFmtId="2" fontId="4" fillId="0" borderId="25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2" fontId="4" fillId="2" borderId="25" xfId="0" applyNumberFormat="1" applyFont="1" applyFill="1" applyBorder="1" applyAlignment="1">
      <alignment horizontal="center"/>
    </xf>
    <xf numFmtId="164" fontId="26" fillId="0" borderId="0" xfId="0" applyFont="1" applyAlignment="1">
      <alignment/>
    </xf>
    <xf numFmtId="174" fontId="5" fillId="0" borderId="26" xfId="15" applyNumberFormat="1" applyFont="1" applyBorder="1" applyAlignment="1">
      <alignment/>
    </xf>
    <xf numFmtId="174" fontId="5" fillId="2" borderId="26" xfId="15" applyNumberFormat="1" applyFont="1" applyFill="1" applyBorder="1" applyAlignment="1" applyProtection="1">
      <alignment/>
      <protection/>
    </xf>
    <xf numFmtId="169" fontId="5" fillId="2" borderId="26" xfId="0" applyNumberFormat="1" applyFont="1" applyFill="1" applyBorder="1" applyAlignment="1" applyProtection="1">
      <alignment/>
      <protection/>
    </xf>
    <xf numFmtId="174" fontId="5" fillId="2" borderId="26" xfId="15" applyNumberFormat="1" applyFont="1" applyFill="1" applyBorder="1" applyAlignment="1">
      <alignment/>
    </xf>
    <xf numFmtId="16" fontId="5" fillId="0" borderId="26" xfId="0" applyNumberFormat="1" applyFont="1" applyBorder="1" applyAlignment="1">
      <alignment horizontal="center"/>
    </xf>
    <xf numFmtId="164" fontId="5" fillId="0" borderId="26" xfId="0" applyFont="1" applyBorder="1" applyAlignment="1">
      <alignment horizontal="center"/>
    </xf>
    <xf numFmtId="164" fontId="5" fillId="2" borderId="26" xfId="0" applyFont="1" applyFill="1" applyBorder="1" applyAlignment="1">
      <alignment horizontal="right"/>
    </xf>
    <xf numFmtId="169" fontId="5" fillId="2" borderId="26" xfId="0" applyNumberFormat="1" applyFont="1" applyFill="1" applyBorder="1" applyAlignment="1">
      <alignment horizontal="right"/>
    </xf>
    <xf numFmtId="174" fontId="5" fillId="2" borderId="23" xfId="15" applyNumberFormat="1" applyFont="1" applyFill="1" applyBorder="1" applyAlignment="1" applyProtection="1">
      <alignment/>
      <protection/>
    </xf>
    <xf numFmtId="169" fontId="5" fillId="2" borderId="23" xfId="0" applyNumberFormat="1" applyFont="1" applyFill="1" applyBorder="1" applyAlignment="1" applyProtection="1">
      <alignment/>
      <protection/>
    </xf>
    <xf numFmtId="164" fontId="6" fillId="0" borderId="0" xfId="0" applyFont="1" applyBorder="1" applyAlignment="1">
      <alignment/>
    </xf>
    <xf numFmtId="174" fontId="5" fillId="2" borderId="0" xfId="15" applyNumberFormat="1" applyFont="1" applyFill="1" applyBorder="1" applyAlignment="1" applyProtection="1">
      <alignment/>
      <protection/>
    </xf>
    <xf numFmtId="169" fontId="5" fillId="2" borderId="0" xfId="0" applyNumberFormat="1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74" fontId="5" fillId="2" borderId="0" xfId="15" applyNumberFormat="1" applyFont="1" applyFill="1" applyBorder="1" applyAlignment="1">
      <alignment/>
    </xf>
    <xf numFmtId="174" fontId="5" fillId="0" borderId="23" xfId="15" applyNumberFormat="1" applyFont="1" applyBorder="1" applyAlignment="1">
      <alignment/>
    </xf>
    <xf numFmtId="164" fontId="6" fillId="2" borderId="26" xfId="0" applyFont="1" applyFill="1" applyBorder="1" applyAlignment="1">
      <alignment/>
    </xf>
    <xf numFmtId="164" fontId="5" fillId="2" borderId="2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7.emf" /><Relationship Id="rId6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5.emf" /><Relationship Id="rId6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66675</xdr:rowOff>
    </xdr:from>
    <xdr:to>
      <xdr:col>5</xdr:col>
      <xdr:colOff>533400</xdr:colOff>
      <xdr:row>4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66700"/>
          <a:ext cx="174307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180975</xdr:colOff>
      <xdr:row>2</xdr:row>
      <xdr:rowOff>85725</xdr:rowOff>
    </xdr:from>
    <xdr:to>
      <xdr:col>5</xdr:col>
      <xdr:colOff>447675</xdr:colOff>
      <xdr:row>4</xdr:row>
      <xdr:rowOff>114300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485775"/>
          <a:ext cx="1581150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228600</xdr:colOff>
      <xdr:row>2</xdr:row>
      <xdr:rowOff>114300</xdr:rowOff>
    </xdr:from>
    <xdr:to>
      <xdr:col>3</xdr:col>
      <xdr:colOff>0</xdr:colOff>
      <xdr:row>4</xdr:row>
      <xdr:rowOff>114300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514350"/>
          <a:ext cx="112395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104775</xdr:colOff>
      <xdr:row>0</xdr:row>
      <xdr:rowOff>152400</xdr:rowOff>
    </xdr:from>
    <xdr:to>
      <xdr:col>13</xdr:col>
      <xdr:colOff>447675</xdr:colOff>
      <xdr:row>4</xdr:row>
      <xdr:rowOff>133350</xdr:rowOff>
    </xdr:to>
    <xdr:pic>
      <xdr:nvPicPr>
        <xdr:cNvPr id="4" name="Label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0" y="152400"/>
          <a:ext cx="3162300" cy="781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104775</xdr:colOff>
      <xdr:row>2</xdr:row>
      <xdr:rowOff>152400</xdr:rowOff>
    </xdr:from>
    <xdr:to>
      <xdr:col>13</xdr:col>
      <xdr:colOff>352425</xdr:colOff>
      <xdr:row>4</xdr:row>
      <xdr:rowOff>57150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0" y="552450"/>
          <a:ext cx="3067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76200</xdr:colOff>
      <xdr:row>2</xdr:row>
      <xdr:rowOff>114300</xdr:rowOff>
    </xdr:from>
    <xdr:to>
      <xdr:col>7</xdr:col>
      <xdr:colOff>523875</xdr:colOff>
      <xdr:row>4</xdr:row>
      <xdr:rowOff>85725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71975" y="5143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66675</xdr:rowOff>
    </xdr:from>
    <xdr:to>
      <xdr:col>5</xdr:col>
      <xdr:colOff>533400</xdr:colOff>
      <xdr:row>4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667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180975</xdr:colOff>
      <xdr:row>2</xdr:row>
      <xdr:rowOff>85725</xdr:rowOff>
    </xdr:from>
    <xdr:to>
      <xdr:col>5</xdr:col>
      <xdr:colOff>447675</xdr:colOff>
      <xdr:row>4</xdr:row>
      <xdr:rowOff>114300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4857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142875</xdr:colOff>
      <xdr:row>2</xdr:row>
      <xdr:rowOff>114300</xdr:rowOff>
    </xdr:from>
    <xdr:to>
      <xdr:col>3</xdr:col>
      <xdr:colOff>0</xdr:colOff>
      <xdr:row>4</xdr:row>
      <xdr:rowOff>114300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5143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104775</xdr:colOff>
      <xdr:row>0</xdr:row>
      <xdr:rowOff>152400</xdr:rowOff>
    </xdr:from>
    <xdr:to>
      <xdr:col>13</xdr:col>
      <xdr:colOff>447675</xdr:colOff>
      <xdr:row>4</xdr:row>
      <xdr:rowOff>133350</xdr:rowOff>
    </xdr:to>
    <xdr:pic>
      <xdr:nvPicPr>
        <xdr:cNvPr id="4" name="Label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04975" y="152400"/>
          <a:ext cx="3162300" cy="781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104775</xdr:colOff>
      <xdr:row>2</xdr:row>
      <xdr:rowOff>152400</xdr:rowOff>
    </xdr:from>
    <xdr:to>
      <xdr:col>13</xdr:col>
      <xdr:colOff>352425</xdr:colOff>
      <xdr:row>4</xdr:row>
      <xdr:rowOff>57150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04975" y="552450"/>
          <a:ext cx="3067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2</xdr:row>
      <xdr:rowOff>114300</xdr:rowOff>
    </xdr:from>
    <xdr:to>
      <xdr:col>9</xdr:col>
      <xdr:colOff>447675</xdr:colOff>
      <xdr:row>4</xdr:row>
      <xdr:rowOff>85725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0200" y="5143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S492"/>
  <sheetViews>
    <sheetView zoomScale="75" zoomScaleNormal="75" workbookViewId="0" topLeftCell="A31">
      <pane xSplit="1" topLeftCell="B1" activePane="topRight" state="frozen"/>
      <selection pane="topLeft" activeCell="A8" sqref="A8"/>
      <selection pane="topRight" activeCell="N65" sqref="N65"/>
    </sheetView>
  </sheetViews>
  <sheetFormatPr defaultColWidth="9.625" defaultRowHeight="15.75" customHeight="1"/>
  <cols>
    <col min="1" max="1" width="13.75390625" style="31" customWidth="1"/>
    <col min="2" max="2" width="8.125" style="31" customWidth="1"/>
    <col min="3" max="3" width="9.625" style="31" customWidth="1"/>
    <col min="4" max="4" width="7.625" style="93" customWidth="1"/>
    <col min="5" max="5" width="9.625" style="31" customWidth="1"/>
    <col min="6" max="6" width="7.625" style="93" customWidth="1"/>
    <col min="7" max="7" width="9.625" style="31" customWidth="1"/>
    <col min="8" max="8" width="7.625" style="91" customWidth="1"/>
    <col min="9" max="9" width="9.625" style="31" customWidth="1"/>
    <col min="10" max="10" width="7.625" style="91" customWidth="1"/>
    <col min="11" max="11" width="4.25390625" style="31" customWidth="1"/>
    <col min="12" max="12" width="11.75390625" style="31" bestFit="1" customWidth="1"/>
    <col min="13" max="13" width="3.75390625" style="31" customWidth="1"/>
    <col min="14" max="14" width="9.75390625" style="92" customWidth="1"/>
    <col min="15" max="15" width="10.50390625" style="92" bestFit="1" customWidth="1"/>
    <col min="16" max="16" width="7.50390625" style="91" bestFit="1" customWidth="1"/>
    <col min="17" max="17" width="7.625" style="31" customWidth="1"/>
    <col min="18" max="16384" width="14.50390625" style="31" customWidth="1"/>
  </cols>
  <sheetData>
    <row r="1" spans="1:18" ht="15.75" customHeight="1">
      <c r="A1" s="44" t="s">
        <v>0</v>
      </c>
      <c r="B1" s="44"/>
      <c r="C1" s="45"/>
      <c r="D1" s="44"/>
      <c r="E1" s="45"/>
      <c r="F1" s="44"/>
      <c r="G1" s="46" t="s">
        <v>238</v>
      </c>
      <c r="H1" s="45"/>
      <c r="I1" s="44"/>
      <c r="J1" s="45"/>
      <c r="K1" s="44"/>
      <c r="L1" s="44"/>
      <c r="M1" s="44"/>
      <c r="N1" s="47"/>
      <c r="O1" s="47"/>
      <c r="P1" s="45"/>
      <c r="Q1" s="44"/>
      <c r="R1" s="44"/>
    </row>
    <row r="2" spans="1:18" ht="15.75" customHeight="1">
      <c r="A2" s="44" t="s">
        <v>1</v>
      </c>
      <c r="B2" s="44"/>
      <c r="C2" s="45"/>
      <c r="D2" s="44"/>
      <c r="E2" s="45"/>
      <c r="F2" s="44"/>
      <c r="G2" s="47"/>
      <c r="H2" s="45"/>
      <c r="I2" s="44"/>
      <c r="J2" s="45"/>
      <c r="K2" s="44"/>
      <c r="L2" s="44"/>
      <c r="M2" s="44"/>
      <c r="N2" s="47"/>
      <c r="O2" s="47"/>
      <c r="P2" s="45"/>
      <c r="Q2" s="44"/>
      <c r="R2" s="44"/>
    </row>
    <row r="3" spans="1:18" ht="15.75" customHeight="1">
      <c r="A3" s="44"/>
      <c r="B3" s="44"/>
      <c r="C3" s="45"/>
      <c r="D3" s="44"/>
      <c r="E3" s="45"/>
      <c r="F3" s="44"/>
      <c r="G3" s="47"/>
      <c r="H3" s="45"/>
      <c r="I3" s="44"/>
      <c r="J3" s="45"/>
      <c r="K3" s="44"/>
      <c r="L3" s="44"/>
      <c r="M3" s="44"/>
      <c r="N3" s="47"/>
      <c r="O3" s="47"/>
      <c r="P3" s="45"/>
      <c r="Q3" s="44"/>
      <c r="R3" s="44"/>
    </row>
    <row r="4" spans="1:18" ht="15.75" customHeight="1">
      <c r="A4" s="44"/>
      <c r="B4" s="44"/>
      <c r="C4" s="45"/>
      <c r="D4" s="44" t="s">
        <v>2</v>
      </c>
      <c r="E4" s="45" t="s">
        <v>2</v>
      </c>
      <c r="F4" s="44"/>
      <c r="G4" s="47"/>
      <c r="H4" s="45"/>
      <c r="I4" s="44"/>
      <c r="J4" s="45"/>
      <c r="K4" s="44"/>
      <c r="L4" s="44"/>
      <c r="M4" s="44"/>
      <c r="N4" s="47"/>
      <c r="O4" s="47" t="s">
        <v>5</v>
      </c>
      <c r="P4" s="48"/>
      <c r="Q4" s="49"/>
      <c r="R4" s="44"/>
    </row>
    <row r="5" spans="1:18" ht="15.75" customHeight="1">
      <c r="A5" s="50" t="s">
        <v>2</v>
      </c>
      <c r="B5" s="31" t="s">
        <v>2</v>
      </c>
      <c r="C5" s="45"/>
      <c r="D5" s="44"/>
      <c r="E5" s="45" t="s">
        <v>2</v>
      </c>
      <c r="F5" s="44"/>
      <c r="G5" s="50"/>
      <c r="H5" s="45"/>
      <c r="I5" s="44"/>
      <c r="J5" s="45"/>
      <c r="K5" s="44"/>
      <c r="L5" s="44"/>
      <c r="M5" s="44"/>
      <c r="N5" s="44"/>
      <c r="O5" s="44"/>
      <c r="P5" s="45"/>
      <c r="Q5" s="44"/>
      <c r="R5" s="44"/>
    </row>
    <row r="6" spans="1:18" ht="15.75" customHeight="1">
      <c r="A6" s="44" t="s">
        <v>3</v>
      </c>
      <c r="B6" s="31" t="s">
        <v>283</v>
      </c>
      <c r="C6" s="44"/>
      <c r="D6" s="44"/>
      <c r="E6" s="44"/>
      <c r="F6" s="44"/>
      <c r="G6" s="44" t="s">
        <v>2</v>
      </c>
      <c r="H6" s="45"/>
      <c r="I6" s="44" t="s">
        <v>2</v>
      </c>
      <c r="J6" s="45" t="s">
        <v>2</v>
      </c>
      <c r="K6" s="44"/>
      <c r="L6" s="44"/>
      <c r="M6" s="44"/>
      <c r="N6" s="47" t="s">
        <v>4</v>
      </c>
      <c r="O6" s="51">
        <f ca="1">NOW()</f>
        <v>39462.40619050926</v>
      </c>
      <c r="P6" s="45"/>
      <c r="Q6" s="44"/>
      <c r="R6" s="44"/>
    </row>
    <row r="7" spans="1:18" ht="15.75" customHeight="1">
      <c r="A7" s="44" t="s">
        <v>236</v>
      </c>
      <c r="B7" s="31" t="s">
        <v>284</v>
      </c>
      <c r="C7" s="44"/>
      <c r="D7" s="44"/>
      <c r="E7" s="44"/>
      <c r="F7" s="44" t="s">
        <v>237</v>
      </c>
      <c r="G7" s="52">
        <v>36160</v>
      </c>
      <c r="H7" s="45"/>
      <c r="I7" s="44"/>
      <c r="J7" s="45"/>
      <c r="K7" s="44"/>
      <c r="L7" s="44"/>
      <c r="M7" s="44"/>
      <c r="N7" s="47" t="s">
        <v>6</v>
      </c>
      <c r="O7" s="53">
        <f ca="1">NOW()</f>
        <v>39462.40619050926</v>
      </c>
      <c r="P7" s="45"/>
      <c r="Q7" s="44"/>
      <c r="R7" s="44"/>
    </row>
    <row r="8" spans="1:18" ht="15.75" customHeight="1">
      <c r="A8" s="54" t="s">
        <v>7</v>
      </c>
      <c r="B8" s="55"/>
      <c r="C8" s="56">
        <v>36891</v>
      </c>
      <c r="D8" s="57"/>
      <c r="E8" s="56">
        <v>37256</v>
      </c>
      <c r="F8" s="57"/>
      <c r="G8" s="56">
        <v>37621</v>
      </c>
      <c r="H8" s="57"/>
      <c r="I8" s="56">
        <v>37894</v>
      </c>
      <c r="J8" s="57"/>
      <c r="K8" s="55"/>
      <c r="L8" s="55" t="s">
        <v>2</v>
      </c>
      <c r="M8" s="55"/>
      <c r="N8" s="58"/>
      <c r="O8" s="58"/>
      <c r="P8" s="59"/>
      <c r="Q8" s="60"/>
      <c r="R8" s="44"/>
    </row>
    <row r="9" spans="1:18" ht="15.75" customHeight="1">
      <c r="A9" s="61" t="s">
        <v>8</v>
      </c>
      <c r="B9" s="44"/>
      <c r="C9" s="62" t="s">
        <v>254</v>
      </c>
      <c r="D9" s="62"/>
      <c r="E9" s="62" t="s">
        <v>254</v>
      </c>
      <c r="F9" s="62"/>
      <c r="G9" s="62" t="s">
        <v>254</v>
      </c>
      <c r="H9" s="62"/>
      <c r="I9" s="62" t="s">
        <v>227</v>
      </c>
      <c r="J9" s="62"/>
      <c r="K9" s="63"/>
      <c r="L9" s="64" t="s">
        <v>9</v>
      </c>
      <c r="M9" s="63"/>
      <c r="N9" s="65" t="s">
        <v>10</v>
      </c>
      <c r="O9" s="65" t="s">
        <v>11</v>
      </c>
      <c r="P9" s="66" t="s">
        <v>12</v>
      </c>
      <c r="Q9" s="67" t="s">
        <v>13</v>
      </c>
      <c r="R9" s="44"/>
    </row>
    <row r="10" spans="1:18" ht="15.75" customHeight="1">
      <c r="A10" s="68" t="s">
        <v>14</v>
      </c>
      <c r="B10" s="49"/>
      <c r="C10" s="69">
        <v>12</v>
      </c>
      <c r="D10" s="69" t="s">
        <v>262</v>
      </c>
      <c r="E10" s="69">
        <f>DAYS360(C8,E8)/30</f>
        <v>12</v>
      </c>
      <c r="F10" s="69" t="s">
        <v>262</v>
      </c>
      <c r="G10" s="69">
        <f>DAYS360(E8,G8)/30</f>
        <v>12</v>
      </c>
      <c r="H10" s="69" t="s">
        <v>262</v>
      </c>
      <c r="I10" s="69">
        <f>DAYS360(G8,I8)/30</f>
        <v>9</v>
      </c>
      <c r="J10" s="69" t="s">
        <v>262</v>
      </c>
      <c r="K10" s="49"/>
      <c r="L10" s="49" t="s">
        <v>2</v>
      </c>
      <c r="M10" s="49"/>
      <c r="N10" s="70"/>
      <c r="O10" s="70"/>
      <c r="P10" s="48"/>
      <c r="Q10" s="71"/>
      <c r="R10" s="44"/>
    </row>
    <row r="11" spans="1:18" ht="15.75" customHeight="1">
      <c r="A11" s="72" t="s">
        <v>15</v>
      </c>
      <c r="B11" s="73"/>
      <c r="C11" s="74" t="s">
        <v>16</v>
      </c>
      <c r="D11" s="74" t="s">
        <v>12</v>
      </c>
      <c r="E11" s="75" t="s">
        <v>16</v>
      </c>
      <c r="F11" s="75" t="s">
        <v>12</v>
      </c>
      <c r="G11" s="75" t="s">
        <v>16</v>
      </c>
      <c r="H11" s="76" t="s">
        <v>12</v>
      </c>
      <c r="I11" s="75" t="s">
        <v>16</v>
      </c>
      <c r="J11" s="76" t="s">
        <v>12</v>
      </c>
      <c r="K11" s="75"/>
      <c r="L11" s="75"/>
      <c r="M11" s="75"/>
      <c r="N11" s="77"/>
      <c r="O11" s="77"/>
      <c r="P11" s="76"/>
      <c r="Q11" s="78"/>
      <c r="R11" s="44"/>
    </row>
    <row r="12" spans="1:18" ht="15.75" customHeight="1">
      <c r="A12" s="44" t="s">
        <v>17</v>
      </c>
      <c r="B12" s="44"/>
      <c r="C12" s="79">
        <v>19.4</v>
      </c>
      <c r="D12" s="80">
        <f aca="true" t="shared" si="0" ref="D12:D31">IF(C12&gt;0,+C12/$C$40," ")</f>
        <v>0.021734259466726417</v>
      </c>
      <c r="E12" s="79">
        <v>27</v>
      </c>
      <c r="F12" s="80">
        <f aca="true" t="shared" si="1" ref="F12:F31">IF(E12&gt;0,+E12/$E$40," ")</f>
        <v>0.02309863974677047</v>
      </c>
      <c r="G12" s="79">
        <v>23.4</v>
      </c>
      <c r="H12" s="80">
        <f aca="true" t="shared" si="2" ref="H12:H31">IF(G12&gt;0,+G12/$G$40," ")</f>
        <v>0.009998718113062428</v>
      </c>
      <c r="I12" s="79">
        <v>16.6</v>
      </c>
      <c r="J12" s="80">
        <f aca="true" t="shared" si="3" ref="J12:J31">IF(I12&gt;0,+I12/$I$40," ")</f>
        <v>0.007105860194340997</v>
      </c>
      <c r="K12" s="81"/>
      <c r="L12" s="79">
        <v>0</v>
      </c>
      <c r="M12" s="82"/>
      <c r="N12" s="79">
        <v>0</v>
      </c>
      <c r="O12" s="79">
        <f aca="true" t="shared" si="4" ref="O12:O32">I12+L12-N12</f>
        <v>16.6</v>
      </c>
      <c r="P12" s="80">
        <f aca="true" t="shared" si="5" ref="P12:P31">IF(O12&gt;0,+O12/$O$40," ")</f>
        <v>0.004576280531510174</v>
      </c>
      <c r="Q12" s="83">
        <v>10.1</v>
      </c>
      <c r="R12" s="44"/>
    </row>
    <row r="13" spans="1:18" ht="15.75" customHeight="1" hidden="1">
      <c r="A13" s="44" t="s">
        <v>18</v>
      </c>
      <c r="B13" s="44"/>
      <c r="C13" s="79"/>
      <c r="D13" s="80" t="str">
        <f t="shared" si="0"/>
        <v> </v>
      </c>
      <c r="E13" s="79"/>
      <c r="F13" s="80" t="str">
        <f t="shared" si="1"/>
        <v> </v>
      </c>
      <c r="G13" s="79"/>
      <c r="H13" s="80" t="str">
        <f t="shared" si="2"/>
        <v> </v>
      </c>
      <c r="I13" s="79"/>
      <c r="J13" s="80" t="str">
        <f t="shared" si="3"/>
        <v> </v>
      </c>
      <c r="K13" s="81"/>
      <c r="L13" s="79">
        <v>0</v>
      </c>
      <c r="M13" s="82"/>
      <c r="N13" s="79"/>
      <c r="O13" s="79">
        <f t="shared" si="4"/>
        <v>0</v>
      </c>
      <c r="P13" s="80" t="str">
        <f t="shared" si="5"/>
        <v> </v>
      </c>
      <c r="Q13" s="83"/>
      <c r="R13" s="44"/>
    </row>
    <row r="14" spans="1:18" ht="15.75" customHeight="1" hidden="1">
      <c r="A14" s="44" t="s">
        <v>19</v>
      </c>
      <c r="B14" s="44"/>
      <c r="C14" s="79">
        <f>SUM(C12:C13)</f>
        <v>19.4</v>
      </c>
      <c r="D14" s="80">
        <f t="shared" si="0"/>
        <v>0.021734259466726417</v>
      </c>
      <c r="E14" s="79">
        <f>SUM(E12:E13)</f>
        <v>27</v>
      </c>
      <c r="F14" s="80">
        <f t="shared" si="1"/>
        <v>0.02309863974677047</v>
      </c>
      <c r="G14" s="79">
        <f>SUM(G12:G13)</f>
        <v>23.4</v>
      </c>
      <c r="H14" s="80">
        <f t="shared" si="2"/>
        <v>0.009998718113062428</v>
      </c>
      <c r="I14" s="79">
        <f>SUM(I12:I13)</f>
        <v>16.6</v>
      </c>
      <c r="J14" s="80">
        <f t="shared" si="3"/>
        <v>0.007105860194340997</v>
      </c>
      <c r="K14" s="81"/>
      <c r="L14" s="79">
        <f>SUM(L12:L13)</f>
        <v>0</v>
      </c>
      <c r="M14" s="82"/>
      <c r="N14" s="79">
        <f>SUM(N12:N13)</f>
        <v>0</v>
      </c>
      <c r="O14" s="79">
        <f t="shared" si="4"/>
        <v>16.6</v>
      </c>
      <c r="P14" s="80">
        <f t="shared" si="5"/>
        <v>0.004576280531510174</v>
      </c>
      <c r="Q14" s="83"/>
      <c r="R14" s="44"/>
    </row>
    <row r="15" spans="1:18" ht="15.75" customHeight="1">
      <c r="A15" s="44" t="s">
        <v>20</v>
      </c>
      <c r="B15" s="44"/>
      <c r="C15" s="79">
        <v>133</v>
      </c>
      <c r="D15" s="80">
        <f t="shared" si="0"/>
        <v>0.1490029128388976</v>
      </c>
      <c r="E15" s="79">
        <v>265.1</v>
      </c>
      <c r="F15" s="80">
        <f t="shared" si="1"/>
        <v>0.22679442210625378</v>
      </c>
      <c r="G15" s="79">
        <v>1064.8</v>
      </c>
      <c r="H15" s="80">
        <f t="shared" si="2"/>
        <v>0.45498440370892623</v>
      </c>
      <c r="I15" s="79">
        <v>1285.8</v>
      </c>
      <c r="J15" s="80">
        <f t="shared" si="3"/>
        <v>0.5504045203544369</v>
      </c>
      <c r="K15" s="81"/>
      <c r="L15" s="79">
        <v>0</v>
      </c>
      <c r="M15" s="82"/>
      <c r="N15" s="79"/>
      <c r="O15" s="79">
        <f t="shared" si="4"/>
        <v>1285.8</v>
      </c>
      <c r="P15" s="80">
        <f t="shared" si="5"/>
        <v>0.3544687655069747</v>
      </c>
      <c r="Q15" s="83">
        <v>13.8</v>
      </c>
      <c r="R15" s="44"/>
    </row>
    <row r="16" spans="1:18" ht="15.75" customHeight="1" hidden="1">
      <c r="A16" s="44" t="s">
        <v>21</v>
      </c>
      <c r="B16" s="44"/>
      <c r="C16" s="79"/>
      <c r="D16" s="80" t="str">
        <f t="shared" si="0"/>
        <v> </v>
      </c>
      <c r="E16" s="79"/>
      <c r="F16" s="80" t="str">
        <f t="shared" si="1"/>
        <v> </v>
      </c>
      <c r="G16" s="79"/>
      <c r="H16" s="80" t="str">
        <f t="shared" si="2"/>
        <v> </v>
      </c>
      <c r="I16" s="79"/>
      <c r="J16" s="80" t="str">
        <f t="shared" si="3"/>
        <v> </v>
      </c>
      <c r="K16" s="81"/>
      <c r="L16" s="79"/>
      <c r="M16" s="82"/>
      <c r="N16" s="79"/>
      <c r="O16" s="79">
        <f t="shared" si="4"/>
        <v>0</v>
      </c>
      <c r="P16" s="80" t="str">
        <f t="shared" si="5"/>
        <v> </v>
      </c>
      <c r="Q16" s="83"/>
      <c r="R16" s="44"/>
    </row>
    <row r="17" spans="1:18" ht="15.75" customHeight="1" hidden="1">
      <c r="A17" s="44" t="s">
        <v>22</v>
      </c>
      <c r="B17" s="44"/>
      <c r="C17" s="84">
        <f>C15-C16</f>
        <v>133</v>
      </c>
      <c r="D17" s="80">
        <f t="shared" si="0"/>
        <v>0.1490029128388976</v>
      </c>
      <c r="E17" s="84">
        <f>E15-E16</f>
        <v>265.1</v>
      </c>
      <c r="F17" s="80">
        <f t="shared" si="1"/>
        <v>0.22679442210625378</v>
      </c>
      <c r="G17" s="84">
        <f>G15-G16</f>
        <v>1064.8</v>
      </c>
      <c r="H17" s="80">
        <f t="shared" si="2"/>
        <v>0.45498440370892623</v>
      </c>
      <c r="I17" s="84">
        <f>I15-I16</f>
        <v>1285.8</v>
      </c>
      <c r="J17" s="80">
        <f t="shared" si="3"/>
        <v>0.5504045203544369</v>
      </c>
      <c r="K17" s="85" t="s">
        <v>27</v>
      </c>
      <c r="L17" s="84">
        <f>L15-L16</f>
        <v>0</v>
      </c>
      <c r="M17" s="86"/>
      <c r="N17" s="84">
        <f>N15-N16</f>
        <v>0</v>
      </c>
      <c r="O17" s="84">
        <f t="shared" si="4"/>
        <v>1285.8</v>
      </c>
      <c r="P17" s="80">
        <f t="shared" si="5"/>
        <v>0.3544687655069747</v>
      </c>
      <c r="Q17" s="83"/>
      <c r="R17" s="44"/>
    </row>
    <row r="18" spans="1:18" ht="15.75" customHeight="1" hidden="1">
      <c r="A18" s="44" t="s">
        <v>232</v>
      </c>
      <c r="B18" s="44"/>
      <c r="C18" s="79"/>
      <c r="D18" s="80" t="str">
        <f t="shared" si="0"/>
        <v> </v>
      </c>
      <c r="E18" s="79"/>
      <c r="F18" s="80" t="str">
        <f t="shared" si="1"/>
        <v> </v>
      </c>
      <c r="G18" s="79"/>
      <c r="H18" s="80" t="str">
        <f t="shared" si="2"/>
        <v> </v>
      </c>
      <c r="I18" s="79"/>
      <c r="J18" s="80" t="str">
        <f t="shared" si="3"/>
        <v> </v>
      </c>
      <c r="K18" s="81"/>
      <c r="L18" s="79">
        <v>0</v>
      </c>
      <c r="M18" s="82"/>
      <c r="N18" s="79"/>
      <c r="O18" s="79">
        <f t="shared" si="4"/>
        <v>0</v>
      </c>
      <c r="P18" s="80" t="str">
        <f t="shared" si="5"/>
        <v> </v>
      </c>
      <c r="Q18" s="83"/>
      <c r="R18" s="44"/>
    </row>
    <row r="19" spans="1:18" ht="15.75" customHeight="1">
      <c r="A19" s="44" t="s">
        <v>23</v>
      </c>
      <c r="B19" s="44"/>
      <c r="C19" s="79">
        <v>596.9</v>
      </c>
      <c r="D19" s="80">
        <f t="shared" si="0"/>
        <v>0.6687205915303608</v>
      </c>
      <c r="E19" s="79">
        <v>729.8</v>
      </c>
      <c r="F19" s="80">
        <f t="shared" si="1"/>
        <v>0.6243476773034478</v>
      </c>
      <c r="G19" s="79">
        <v>863.9</v>
      </c>
      <c r="H19" s="80">
        <f t="shared" si="2"/>
        <v>0.36914070845618085</v>
      </c>
      <c r="I19" s="79">
        <v>882.7</v>
      </c>
      <c r="J19" s="80">
        <f t="shared" si="3"/>
        <v>0.3778519755147468</v>
      </c>
      <c r="K19" s="81"/>
      <c r="L19" s="79"/>
      <c r="M19" s="82"/>
      <c r="N19" s="79"/>
      <c r="O19" s="79">
        <f t="shared" si="4"/>
        <v>882.7</v>
      </c>
      <c r="P19" s="80">
        <f t="shared" si="5"/>
        <v>0.24334233886530302</v>
      </c>
      <c r="Q19" s="83">
        <v>42.9</v>
      </c>
      <c r="R19" s="44"/>
    </row>
    <row r="20" spans="1:18" ht="15.75" customHeight="1">
      <c r="A20" s="44" t="s">
        <v>24</v>
      </c>
      <c r="B20" s="44"/>
      <c r="C20" s="79">
        <v>0</v>
      </c>
      <c r="D20" s="80" t="str">
        <f t="shared" si="0"/>
        <v> </v>
      </c>
      <c r="E20" s="79">
        <v>0</v>
      </c>
      <c r="F20" s="80" t="str">
        <f t="shared" si="1"/>
        <v> </v>
      </c>
      <c r="G20" s="79">
        <v>0</v>
      </c>
      <c r="H20" s="80" t="str">
        <f t="shared" si="2"/>
        <v> </v>
      </c>
      <c r="I20" s="79">
        <v>0</v>
      </c>
      <c r="J20" s="80" t="str">
        <f t="shared" si="3"/>
        <v> </v>
      </c>
      <c r="K20" s="81"/>
      <c r="L20" s="79">
        <v>0</v>
      </c>
      <c r="M20" s="82"/>
      <c r="N20" s="79">
        <v>0</v>
      </c>
      <c r="O20" s="79">
        <f t="shared" si="4"/>
        <v>0</v>
      </c>
      <c r="P20" s="80" t="str">
        <f t="shared" si="5"/>
        <v> </v>
      </c>
      <c r="Q20" s="83"/>
      <c r="R20" s="44"/>
    </row>
    <row r="21" spans="1:18" ht="15.75" customHeight="1">
      <c r="A21" s="44" t="s">
        <v>25</v>
      </c>
      <c r="B21" s="44"/>
      <c r="C21" s="84">
        <f>C14+C17+C18+C19+C20</f>
        <v>749.3</v>
      </c>
      <c r="D21" s="80">
        <f t="shared" si="0"/>
        <v>0.8394577638359848</v>
      </c>
      <c r="E21" s="84">
        <f>E14+E17+E18+E19+E20</f>
        <v>1021.9</v>
      </c>
      <c r="F21" s="80">
        <f t="shared" si="1"/>
        <v>0.8742407391564719</v>
      </c>
      <c r="G21" s="84">
        <f>G14+G17+G18+G19+G20</f>
        <v>1952.1</v>
      </c>
      <c r="H21" s="80">
        <f t="shared" si="2"/>
        <v>0.8341238302781695</v>
      </c>
      <c r="I21" s="84">
        <f>I14+I17+I18+I19+I20</f>
        <v>2185.1</v>
      </c>
      <c r="J21" s="80" t="b">
        <f>L20=IF(I21&gt;0,+I21/$I$40," ")</f>
        <v>0</v>
      </c>
      <c r="K21" s="85"/>
      <c r="L21" s="84">
        <f>L14+L17+L18+L19+L20</f>
        <v>0</v>
      </c>
      <c r="M21" s="86"/>
      <c r="N21" s="84">
        <f>N14+N17+N18+N19+N20</f>
        <v>0</v>
      </c>
      <c r="O21" s="84">
        <f t="shared" si="4"/>
        <v>2185.1</v>
      </c>
      <c r="P21" s="80">
        <f t="shared" si="5"/>
        <v>0.6023873849037878</v>
      </c>
      <c r="Q21" s="83"/>
      <c r="R21" s="44"/>
    </row>
    <row r="22" spans="1:18" ht="15.75" customHeight="1">
      <c r="A22" s="44" t="s">
        <v>26</v>
      </c>
      <c r="B22" s="44"/>
      <c r="C22" s="79">
        <v>0</v>
      </c>
      <c r="D22" s="80" t="str">
        <f t="shared" si="0"/>
        <v> </v>
      </c>
      <c r="E22" s="79">
        <v>0</v>
      </c>
      <c r="F22" s="80" t="str">
        <f t="shared" si="1"/>
        <v> </v>
      </c>
      <c r="G22" s="79">
        <v>0</v>
      </c>
      <c r="H22" s="80" t="str">
        <f t="shared" si="2"/>
        <v> </v>
      </c>
      <c r="I22" s="79">
        <v>0</v>
      </c>
      <c r="J22" s="80" t="str">
        <f t="shared" si="3"/>
        <v> </v>
      </c>
      <c r="K22" s="81" t="s">
        <v>222</v>
      </c>
      <c r="L22" s="79">
        <v>1279</v>
      </c>
      <c r="M22" s="82"/>
      <c r="N22" s="79"/>
      <c r="O22" s="79">
        <f t="shared" si="4"/>
        <v>1279</v>
      </c>
      <c r="P22" s="80">
        <f t="shared" si="5"/>
        <v>0.3525941445663561</v>
      </c>
      <c r="Q22" s="83"/>
      <c r="R22" s="44"/>
    </row>
    <row r="23" spans="1:18" ht="15.75" customHeight="1" hidden="1">
      <c r="A23" s="44" t="s">
        <v>28</v>
      </c>
      <c r="B23" s="44"/>
      <c r="C23" s="79"/>
      <c r="D23" s="80" t="str">
        <f t="shared" si="0"/>
        <v> </v>
      </c>
      <c r="E23" s="79"/>
      <c r="F23" s="80" t="str">
        <f t="shared" si="1"/>
        <v> </v>
      </c>
      <c r="G23" s="79"/>
      <c r="H23" s="80" t="str">
        <f t="shared" si="2"/>
        <v> </v>
      </c>
      <c r="I23" s="79"/>
      <c r="J23" s="80" t="str">
        <f t="shared" si="3"/>
        <v> </v>
      </c>
      <c r="K23" s="81"/>
      <c r="L23" s="79">
        <v>0</v>
      </c>
      <c r="M23" s="82"/>
      <c r="N23" s="79">
        <v>0</v>
      </c>
      <c r="O23" s="79">
        <f t="shared" si="4"/>
        <v>0</v>
      </c>
      <c r="P23" s="80" t="str">
        <f t="shared" si="5"/>
        <v> </v>
      </c>
      <c r="Q23" s="83"/>
      <c r="R23" s="44"/>
    </row>
    <row r="24" spans="1:18" ht="15.75" customHeight="1">
      <c r="A24" s="44" t="s">
        <v>29</v>
      </c>
      <c r="B24" s="44"/>
      <c r="C24" s="79">
        <v>54.9</v>
      </c>
      <c r="D24" s="80">
        <f t="shared" si="0"/>
        <v>0.06150571364552992</v>
      </c>
      <c r="E24" s="79">
        <v>62</v>
      </c>
      <c r="F24" s="80">
        <f t="shared" si="1"/>
        <v>0.05304132089999145</v>
      </c>
      <c r="G24" s="79">
        <v>101.9</v>
      </c>
      <c r="H24" s="80">
        <f t="shared" si="2"/>
        <v>0.04354142631286588</v>
      </c>
      <c r="I24" s="79">
        <v>104.6</v>
      </c>
      <c r="J24" s="80">
        <f t="shared" si="3"/>
        <v>0.044775480501690855</v>
      </c>
      <c r="K24" s="81"/>
      <c r="L24" s="79"/>
      <c r="M24" s="82"/>
      <c r="N24" s="79"/>
      <c r="O24" s="79">
        <f t="shared" si="4"/>
        <v>104.6</v>
      </c>
      <c r="P24" s="80">
        <f t="shared" si="5"/>
        <v>0.02883608093951591</v>
      </c>
      <c r="Q24" s="83"/>
      <c r="R24" s="44"/>
    </row>
    <row r="25" spans="1:18" ht="15.75" customHeight="1">
      <c r="A25" s="44" t="s">
        <v>30</v>
      </c>
      <c r="B25" s="44"/>
      <c r="C25" s="84">
        <f>SUM(C22:C24)</f>
        <v>54.9</v>
      </c>
      <c r="D25" s="80">
        <f t="shared" si="0"/>
        <v>0.06150571364552992</v>
      </c>
      <c r="E25" s="84">
        <f>SUM(E22:E24)</f>
        <v>62</v>
      </c>
      <c r="F25" s="80">
        <f t="shared" si="1"/>
        <v>0.05304132089999145</v>
      </c>
      <c r="G25" s="84">
        <f>SUM(G22:G24)</f>
        <v>101.9</v>
      </c>
      <c r="H25" s="80">
        <f t="shared" si="2"/>
        <v>0.04354142631286588</v>
      </c>
      <c r="I25" s="84">
        <f>SUM(I22:I24)</f>
        <v>104.6</v>
      </c>
      <c r="J25" s="80">
        <f t="shared" si="3"/>
        <v>0.044775480501690855</v>
      </c>
      <c r="K25" s="85"/>
      <c r="L25" s="84">
        <f>SUM(L22:L24)</f>
        <v>1279</v>
      </c>
      <c r="M25" s="86"/>
      <c r="N25" s="84">
        <f>SUM(N22:N24)</f>
        <v>0</v>
      </c>
      <c r="O25" s="84">
        <f t="shared" si="4"/>
        <v>1383.6</v>
      </c>
      <c r="P25" s="80">
        <f t="shared" si="5"/>
        <v>0.38143022550587197</v>
      </c>
      <c r="Q25" s="83">
        <v>22</v>
      </c>
      <c r="R25" s="44"/>
    </row>
    <row r="26" spans="1:18" ht="15.75" customHeight="1">
      <c r="A26" s="44" t="s">
        <v>31</v>
      </c>
      <c r="B26" s="44"/>
      <c r="C26" s="79">
        <v>13.5</v>
      </c>
      <c r="D26" s="80">
        <f t="shared" si="0"/>
        <v>0.01512435581447457</v>
      </c>
      <c r="E26" s="79">
        <v>25.3</v>
      </c>
      <c r="F26" s="80">
        <f t="shared" si="1"/>
        <v>0.021644280947899736</v>
      </c>
      <c r="G26" s="79">
        <v>48.8</v>
      </c>
      <c r="H26" s="80">
        <f t="shared" si="2"/>
        <v>0.020852027517839593</v>
      </c>
      <c r="I26" s="79">
        <v>48.9</v>
      </c>
      <c r="J26" s="80">
        <f t="shared" si="3"/>
        <v>0.02093232310260691</v>
      </c>
      <c r="K26" s="81"/>
      <c r="L26" s="79"/>
      <c r="M26" s="82"/>
      <c r="N26" s="79"/>
      <c r="O26" s="79">
        <f t="shared" si="4"/>
        <v>48.9</v>
      </c>
      <c r="P26" s="80">
        <f t="shared" si="5"/>
        <v>0.013480729999448642</v>
      </c>
      <c r="Q26" s="83"/>
      <c r="R26" s="44"/>
    </row>
    <row r="27" spans="1:18" ht="15.75" customHeight="1">
      <c r="A27" s="44" t="s">
        <v>32</v>
      </c>
      <c r="B27" s="44"/>
      <c r="C27" s="84">
        <f>C25-C26</f>
        <v>41.4</v>
      </c>
      <c r="D27" s="80">
        <f t="shared" si="0"/>
        <v>0.04638135783105535</v>
      </c>
      <c r="E27" s="84">
        <f>E25-E26</f>
        <v>36.7</v>
      </c>
      <c r="F27" s="80">
        <f t="shared" si="1"/>
        <v>0.03139703995209172</v>
      </c>
      <c r="G27" s="84">
        <f>G25-G26</f>
        <v>53.10000000000001</v>
      </c>
      <c r="H27" s="80">
        <f t="shared" si="2"/>
        <v>0.022689398795026284</v>
      </c>
      <c r="I27" s="84">
        <f>I25-I26</f>
        <v>55.699999999999996</v>
      </c>
      <c r="J27" s="80">
        <f t="shared" si="3"/>
        <v>0.023843157399083943</v>
      </c>
      <c r="K27" s="85"/>
      <c r="L27" s="84">
        <f>L25-L26</f>
        <v>1279</v>
      </c>
      <c r="M27" s="86"/>
      <c r="N27" s="84">
        <f>N25+N26</f>
        <v>0</v>
      </c>
      <c r="O27" s="84">
        <f t="shared" si="4"/>
        <v>1334.7</v>
      </c>
      <c r="P27" s="80">
        <f t="shared" si="5"/>
        <v>0.36794949550642336</v>
      </c>
      <c r="Q27" s="83"/>
      <c r="R27" s="44"/>
    </row>
    <row r="28" spans="1:18" ht="15.75" customHeight="1">
      <c r="A28" s="44" t="s">
        <v>33</v>
      </c>
      <c r="B28" s="44"/>
      <c r="C28" s="79">
        <v>0</v>
      </c>
      <c r="D28" s="80" t="str">
        <f t="shared" si="0"/>
        <v> </v>
      </c>
      <c r="E28" s="79">
        <v>0</v>
      </c>
      <c r="F28" s="80" t="str">
        <f t="shared" si="1"/>
        <v> </v>
      </c>
      <c r="G28" s="79">
        <v>0</v>
      </c>
      <c r="H28" s="80" t="str">
        <f t="shared" si="2"/>
        <v> </v>
      </c>
      <c r="I28" s="79">
        <v>0</v>
      </c>
      <c r="J28" s="80" t="str">
        <f t="shared" si="3"/>
        <v> </v>
      </c>
      <c r="K28" s="81"/>
      <c r="L28" s="79"/>
      <c r="M28" s="82"/>
      <c r="N28" s="79"/>
      <c r="O28" s="79">
        <f t="shared" si="4"/>
        <v>0</v>
      </c>
      <c r="P28" s="80" t="str">
        <f t="shared" si="5"/>
        <v> </v>
      </c>
      <c r="Q28" s="83"/>
      <c r="R28" s="44"/>
    </row>
    <row r="29" spans="1:18" ht="15.75" customHeight="1">
      <c r="A29" s="44" t="s">
        <v>34</v>
      </c>
      <c r="B29" s="44"/>
      <c r="C29" s="79">
        <v>0</v>
      </c>
      <c r="D29" s="80" t="str">
        <f t="shared" si="0"/>
        <v> </v>
      </c>
      <c r="E29" s="79">
        <v>0</v>
      </c>
      <c r="F29" s="80" t="str">
        <f t="shared" si="1"/>
        <v> </v>
      </c>
      <c r="G29" s="79">
        <v>0</v>
      </c>
      <c r="H29" s="80" t="str">
        <f t="shared" si="2"/>
        <v> </v>
      </c>
      <c r="I29" s="79">
        <v>0</v>
      </c>
      <c r="J29" s="80" t="str">
        <f t="shared" si="3"/>
        <v> </v>
      </c>
      <c r="K29" s="81"/>
      <c r="L29" s="79"/>
      <c r="M29" s="82"/>
      <c r="N29" s="79"/>
      <c r="O29" s="79">
        <f t="shared" si="4"/>
        <v>0</v>
      </c>
      <c r="P29" s="80" t="str">
        <f t="shared" si="5"/>
        <v> </v>
      </c>
      <c r="Q29" s="83"/>
      <c r="R29" s="44"/>
    </row>
    <row r="30" spans="1:18" ht="15.75" customHeight="1">
      <c r="A30" s="44" t="s">
        <v>35</v>
      </c>
      <c r="B30" s="44"/>
      <c r="C30" s="79">
        <v>0</v>
      </c>
      <c r="D30" s="80" t="str">
        <f t="shared" si="0"/>
        <v> </v>
      </c>
      <c r="E30" s="79">
        <v>0</v>
      </c>
      <c r="F30" s="80" t="str">
        <f t="shared" si="1"/>
        <v> </v>
      </c>
      <c r="G30" s="79">
        <v>242</v>
      </c>
      <c r="H30" s="80">
        <f t="shared" si="2"/>
        <v>0.10340554629748325</v>
      </c>
      <c r="I30" s="79">
        <v>0</v>
      </c>
      <c r="J30" s="80" t="str">
        <f t="shared" si="3"/>
        <v> </v>
      </c>
      <c r="K30" s="81"/>
      <c r="L30" s="79">
        <v>0</v>
      </c>
      <c r="M30" s="82"/>
      <c r="N30" s="79">
        <v>0</v>
      </c>
      <c r="O30" s="79">
        <f t="shared" si="4"/>
        <v>0</v>
      </c>
      <c r="P30" s="80" t="str">
        <f t="shared" si="5"/>
        <v> </v>
      </c>
      <c r="Q30" s="83"/>
      <c r="R30" s="44"/>
    </row>
    <row r="31" spans="1:18" ht="15.75" customHeight="1">
      <c r="A31" s="44" t="s">
        <v>36</v>
      </c>
      <c r="B31" s="44"/>
      <c r="C31" s="79">
        <v>0</v>
      </c>
      <c r="D31" s="80" t="str">
        <f t="shared" si="0"/>
        <v> </v>
      </c>
      <c r="E31" s="79">
        <v>0</v>
      </c>
      <c r="F31" s="80" t="str">
        <f t="shared" si="1"/>
        <v> </v>
      </c>
      <c r="G31" s="79">
        <v>0</v>
      </c>
      <c r="H31" s="80" t="str">
        <f t="shared" si="2"/>
        <v> </v>
      </c>
      <c r="I31" s="79">
        <v>0</v>
      </c>
      <c r="J31" s="80" t="str">
        <f t="shared" si="3"/>
        <v> </v>
      </c>
      <c r="K31" s="81"/>
      <c r="L31" s="79"/>
      <c r="M31" s="82"/>
      <c r="N31" s="79"/>
      <c r="O31" s="79">
        <f t="shared" si="4"/>
        <v>0</v>
      </c>
      <c r="P31" s="80" t="str">
        <f t="shared" si="5"/>
        <v> </v>
      </c>
      <c r="Q31" s="83"/>
      <c r="R31" s="44"/>
    </row>
    <row r="32" spans="1:18" ht="15.75" customHeight="1" hidden="1">
      <c r="A32" s="44" t="s">
        <v>37</v>
      </c>
      <c r="B32" s="44"/>
      <c r="C32" s="84">
        <f>SUM(C28:C31)</f>
        <v>0</v>
      </c>
      <c r="D32" s="80" t="str">
        <f aca="true" t="shared" si="6" ref="D32:D44">IF(C32&gt;0,+C32/$C$40," ")</f>
        <v> </v>
      </c>
      <c r="E32" s="84">
        <f>SUM(E28:E31)</f>
        <v>0</v>
      </c>
      <c r="F32" s="80" t="str">
        <f aca="true" t="shared" si="7" ref="F32:F44">IF(E32&gt;0,+E32/$E$40," ")</f>
        <v> </v>
      </c>
      <c r="G32" s="84">
        <f>SUM(G28:G31)</f>
        <v>242</v>
      </c>
      <c r="H32" s="80">
        <f aca="true" t="shared" si="8" ref="H32:H44">IF(G32&gt;0,+G32/$G$40," ")</f>
        <v>0.10340554629748325</v>
      </c>
      <c r="I32" s="84">
        <f>SUM(I28:I31)</f>
        <v>0</v>
      </c>
      <c r="J32" s="80" t="str">
        <f aca="true" t="shared" si="9" ref="J32:J44">IF(I32&gt;0,+I32/$I$40," ")</f>
        <v> </v>
      </c>
      <c r="K32" s="85"/>
      <c r="L32" s="84">
        <f>SUM(L28:L31)</f>
        <v>0</v>
      </c>
      <c r="M32" s="86"/>
      <c r="N32" s="84">
        <f>SUM(N28:N31)</f>
        <v>0</v>
      </c>
      <c r="O32" s="84">
        <f t="shared" si="4"/>
        <v>0</v>
      </c>
      <c r="P32" s="80" t="str">
        <f aca="true" t="shared" si="10" ref="P32:P44">IF(O32&gt;0,+O32/$O$40," ")</f>
        <v> </v>
      </c>
      <c r="Q32" s="83"/>
      <c r="R32" s="44"/>
    </row>
    <row r="33" spans="1:18" ht="15.75" customHeight="1" hidden="1">
      <c r="A33" s="44" t="s">
        <v>38</v>
      </c>
      <c r="B33" s="44"/>
      <c r="C33" s="79"/>
      <c r="D33" s="80" t="str">
        <f t="shared" si="6"/>
        <v> </v>
      </c>
      <c r="E33" s="79"/>
      <c r="F33" s="80" t="str">
        <f t="shared" si="7"/>
        <v> </v>
      </c>
      <c r="G33" s="79"/>
      <c r="H33" s="80" t="str">
        <f t="shared" si="8"/>
        <v> </v>
      </c>
      <c r="I33" s="79"/>
      <c r="J33" s="80" t="str">
        <f t="shared" si="9"/>
        <v> </v>
      </c>
      <c r="K33" s="81"/>
      <c r="L33" s="79">
        <v>0</v>
      </c>
      <c r="M33" s="82"/>
      <c r="N33" s="79">
        <v>0</v>
      </c>
      <c r="O33" s="79">
        <f aca="true" t="shared" si="11" ref="O33:O40">I33+L33-N33</f>
        <v>0</v>
      </c>
      <c r="P33" s="80" t="str">
        <f t="shared" si="10"/>
        <v> </v>
      </c>
      <c r="Q33" s="83"/>
      <c r="R33" s="44"/>
    </row>
    <row r="34" spans="1:18" ht="15.75" customHeight="1">
      <c r="A34" s="44" t="s">
        <v>39</v>
      </c>
      <c r="B34" s="44"/>
      <c r="C34" s="79">
        <v>18.5</v>
      </c>
      <c r="D34" s="80">
        <f t="shared" si="6"/>
        <v>0.020725969079094783</v>
      </c>
      <c r="E34" s="79">
        <v>19.1</v>
      </c>
      <c r="F34" s="80">
        <f t="shared" si="7"/>
        <v>0.016340148857900593</v>
      </c>
      <c r="G34" s="79">
        <v>9.7</v>
      </c>
      <c r="H34" s="80">
        <f t="shared" si="8"/>
        <v>0.004144767764816476</v>
      </c>
      <c r="I34" s="79">
        <v>11.9</v>
      </c>
      <c r="J34" s="80">
        <f t="shared" si="9"/>
        <v>0.00509396001883481</v>
      </c>
      <c r="K34" s="81"/>
      <c r="L34" s="79"/>
      <c r="M34" s="82"/>
      <c r="N34" s="79"/>
      <c r="O34" s="79">
        <f t="shared" si="11"/>
        <v>11.9</v>
      </c>
      <c r="P34" s="80">
        <f t="shared" si="10"/>
        <v>0.003280586646082594</v>
      </c>
      <c r="Q34" s="83"/>
      <c r="R34" s="44"/>
    </row>
    <row r="35" spans="1:18" ht="15.75" customHeight="1" hidden="1">
      <c r="A35" s="44" t="s">
        <v>40</v>
      </c>
      <c r="B35" s="44"/>
      <c r="C35" s="79"/>
      <c r="D35" s="80" t="str">
        <f t="shared" si="6"/>
        <v> </v>
      </c>
      <c r="E35" s="79"/>
      <c r="F35" s="80" t="str">
        <f t="shared" si="7"/>
        <v> </v>
      </c>
      <c r="G35" s="79"/>
      <c r="H35" s="80" t="str">
        <f t="shared" si="8"/>
        <v> </v>
      </c>
      <c r="I35" s="79"/>
      <c r="J35" s="80" t="str">
        <f t="shared" si="9"/>
        <v> </v>
      </c>
      <c r="K35" s="81"/>
      <c r="L35" s="79">
        <v>0</v>
      </c>
      <c r="M35" s="82"/>
      <c r="N35" s="79">
        <v>0</v>
      </c>
      <c r="O35" s="79">
        <f t="shared" si="11"/>
        <v>0</v>
      </c>
      <c r="P35" s="80" t="str">
        <f t="shared" si="10"/>
        <v> </v>
      </c>
      <c r="Q35" s="83"/>
      <c r="R35" s="44"/>
    </row>
    <row r="36" spans="1:18" ht="15.75" customHeight="1" hidden="1">
      <c r="A36" s="44" t="s">
        <v>41</v>
      </c>
      <c r="B36" s="44"/>
      <c r="C36" s="79"/>
      <c r="D36" s="80" t="str">
        <f t="shared" si="6"/>
        <v> </v>
      </c>
      <c r="E36" s="79"/>
      <c r="F36" s="80" t="str">
        <f t="shared" si="7"/>
        <v> </v>
      </c>
      <c r="G36" s="79"/>
      <c r="H36" s="80" t="str">
        <f t="shared" si="8"/>
        <v> </v>
      </c>
      <c r="I36" s="79"/>
      <c r="J36" s="80" t="str">
        <f t="shared" si="9"/>
        <v> </v>
      </c>
      <c r="K36" s="81"/>
      <c r="L36" s="79">
        <v>0</v>
      </c>
      <c r="M36" s="82"/>
      <c r="N36" s="79">
        <v>0</v>
      </c>
      <c r="O36" s="79">
        <f t="shared" si="11"/>
        <v>0</v>
      </c>
      <c r="P36" s="80" t="str">
        <f t="shared" si="10"/>
        <v> </v>
      </c>
      <c r="Q36" s="83"/>
      <c r="R36" s="44"/>
    </row>
    <row r="37" spans="1:18" ht="15.75" customHeight="1">
      <c r="A37" s="44" t="s">
        <v>42</v>
      </c>
      <c r="B37" s="44"/>
      <c r="C37" s="79">
        <v>0</v>
      </c>
      <c r="D37" s="80" t="str">
        <f t="shared" si="6"/>
        <v> </v>
      </c>
      <c r="E37" s="79">
        <v>7.8</v>
      </c>
      <c r="F37" s="80">
        <f t="shared" si="7"/>
        <v>0.006672940371289247</v>
      </c>
      <c r="G37" s="79">
        <v>0</v>
      </c>
      <c r="H37" s="80" t="str">
        <f t="shared" si="8"/>
        <v> </v>
      </c>
      <c r="I37" s="79">
        <v>0</v>
      </c>
      <c r="J37" s="80" t="str">
        <f t="shared" si="9"/>
        <v> </v>
      </c>
      <c r="K37" s="81"/>
      <c r="L37" s="79"/>
      <c r="M37" s="82"/>
      <c r="N37" s="79"/>
      <c r="O37" s="79">
        <f t="shared" si="11"/>
        <v>0</v>
      </c>
      <c r="P37" s="80" t="str">
        <f t="shared" si="10"/>
        <v> </v>
      </c>
      <c r="Q37" s="83"/>
      <c r="R37" s="44"/>
    </row>
    <row r="38" spans="1:18" ht="15.75" customHeight="1">
      <c r="A38" s="44" t="s">
        <v>43</v>
      </c>
      <c r="B38" s="44"/>
      <c r="C38" s="79">
        <v>83.4</v>
      </c>
      <c r="D38" s="80">
        <f t="shared" si="6"/>
        <v>0.09343490925386513</v>
      </c>
      <c r="E38" s="79">
        <v>83.4</v>
      </c>
      <c r="F38" s="80">
        <f t="shared" si="7"/>
        <v>0.07134913166224657</v>
      </c>
      <c r="G38" s="79">
        <v>83.4</v>
      </c>
      <c r="H38" s="80">
        <f t="shared" si="8"/>
        <v>0.035636456864504555</v>
      </c>
      <c r="I38" s="79">
        <v>83.4</v>
      </c>
      <c r="J38" s="80">
        <f t="shared" si="9"/>
        <v>0.03570052651855657</v>
      </c>
      <c r="K38" s="81" t="s">
        <v>27</v>
      </c>
      <c r="L38" s="79">
        <v>12.3</v>
      </c>
      <c r="M38" s="82"/>
      <c r="N38" s="79"/>
      <c r="O38" s="79">
        <f t="shared" si="11"/>
        <v>95.7</v>
      </c>
      <c r="P38" s="80">
        <f t="shared" si="10"/>
        <v>0.02638253294370624</v>
      </c>
      <c r="Q38" s="83">
        <v>3.1</v>
      </c>
      <c r="R38" s="44"/>
    </row>
    <row r="39" spans="1:18" ht="15.75" customHeight="1" hidden="1">
      <c r="A39" s="44" t="s">
        <v>44</v>
      </c>
      <c r="B39" s="44"/>
      <c r="C39" s="79"/>
      <c r="D39" s="80" t="str">
        <f t="shared" si="6"/>
        <v> </v>
      </c>
      <c r="E39" s="79"/>
      <c r="F39" s="80" t="str">
        <f t="shared" si="7"/>
        <v> </v>
      </c>
      <c r="G39" s="79"/>
      <c r="H39" s="80" t="str">
        <f t="shared" si="8"/>
        <v> </v>
      </c>
      <c r="I39" s="79"/>
      <c r="J39" s="80" t="str">
        <f t="shared" si="9"/>
        <v> </v>
      </c>
      <c r="K39" s="81"/>
      <c r="L39" s="79"/>
      <c r="M39" s="82"/>
      <c r="N39" s="79"/>
      <c r="O39" s="79">
        <f t="shared" si="11"/>
        <v>0</v>
      </c>
      <c r="P39" s="80" t="str">
        <f t="shared" si="10"/>
        <v> </v>
      </c>
      <c r="Q39" s="83"/>
      <c r="R39" s="44"/>
    </row>
    <row r="40" spans="1:18" ht="15.75" customHeight="1">
      <c r="A40" s="44" t="s">
        <v>45</v>
      </c>
      <c r="B40" s="44"/>
      <c r="C40" s="43">
        <f>C21+C27+C32+(SUM(C33:C39))</f>
        <v>892.5999999999999</v>
      </c>
      <c r="D40" s="80">
        <f t="shared" si="6"/>
        <v>1</v>
      </c>
      <c r="E40" s="43">
        <f>E21+E27+E32+(SUM(E33:E39))</f>
        <v>1168.8999999999999</v>
      </c>
      <c r="F40" s="80">
        <f t="shared" si="7"/>
        <v>1</v>
      </c>
      <c r="G40" s="43">
        <f>G21+G27+G32+(SUM(G33:G39))</f>
        <v>2340.2999999999997</v>
      </c>
      <c r="H40" s="80">
        <f t="shared" si="8"/>
        <v>1</v>
      </c>
      <c r="I40" s="43">
        <f>I21+I27+I32+(SUM(I33:I39))</f>
        <v>2336.1</v>
      </c>
      <c r="J40" s="80">
        <f t="shared" si="9"/>
        <v>1</v>
      </c>
      <c r="K40" s="87"/>
      <c r="L40" s="43">
        <f>L21+L27+L32+(SUM(L33:L39))</f>
        <v>1291.3</v>
      </c>
      <c r="M40" s="88"/>
      <c r="N40" s="43">
        <f>N21+N27+N32+(SUM(N33:N39))</f>
        <v>0</v>
      </c>
      <c r="O40" s="43">
        <f t="shared" si="11"/>
        <v>3627.3999999999996</v>
      </c>
      <c r="P40" s="80">
        <f t="shared" si="10"/>
        <v>1</v>
      </c>
      <c r="Q40" s="89"/>
      <c r="R40" s="44"/>
    </row>
    <row r="41" spans="1:18" ht="15.75" customHeight="1">
      <c r="A41" s="44"/>
      <c r="B41" s="44"/>
      <c r="C41" s="79"/>
      <c r="D41" s="80" t="str">
        <f t="shared" si="6"/>
        <v> </v>
      </c>
      <c r="E41" s="79"/>
      <c r="F41" s="80" t="str">
        <f t="shared" si="7"/>
        <v> </v>
      </c>
      <c r="G41" s="79"/>
      <c r="H41" s="80" t="str">
        <f t="shared" si="8"/>
        <v> </v>
      </c>
      <c r="I41" s="79"/>
      <c r="J41" s="80" t="str">
        <f t="shared" si="9"/>
        <v> </v>
      </c>
      <c r="K41" s="81"/>
      <c r="L41" s="79"/>
      <c r="M41" s="82"/>
      <c r="N41" s="79"/>
      <c r="O41" s="79"/>
      <c r="P41" s="80" t="str">
        <f t="shared" si="10"/>
        <v> </v>
      </c>
      <c r="Q41" s="83"/>
      <c r="R41" s="44"/>
    </row>
    <row r="42" spans="1:18" ht="15.75" customHeight="1">
      <c r="A42" s="44" t="s">
        <v>46</v>
      </c>
      <c r="B42" s="44"/>
      <c r="C42" s="79">
        <v>0</v>
      </c>
      <c r="D42" s="80" t="str">
        <f t="shared" si="6"/>
        <v> </v>
      </c>
      <c r="E42" s="79">
        <v>0</v>
      </c>
      <c r="F42" s="80" t="str">
        <f t="shared" si="7"/>
        <v> </v>
      </c>
      <c r="G42" s="79">
        <v>0</v>
      </c>
      <c r="H42" s="80" t="str">
        <f t="shared" si="8"/>
        <v> </v>
      </c>
      <c r="I42" s="79">
        <v>0</v>
      </c>
      <c r="J42" s="80" t="str">
        <f t="shared" si="9"/>
        <v> </v>
      </c>
      <c r="K42" s="81"/>
      <c r="L42" s="79">
        <v>0</v>
      </c>
      <c r="M42" s="82"/>
      <c r="N42" s="79">
        <v>0</v>
      </c>
      <c r="O42" s="79">
        <f aca="true" t="shared" si="12" ref="O42:O55">I42-L42+N42</f>
        <v>0</v>
      </c>
      <c r="P42" s="80" t="str">
        <f t="shared" si="10"/>
        <v> </v>
      </c>
      <c r="Q42" s="83"/>
      <c r="R42" s="44"/>
    </row>
    <row r="43" spans="1:18" ht="15.75" customHeight="1">
      <c r="A43" s="44" t="s">
        <v>233</v>
      </c>
      <c r="B43" s="44"/>
      <c r="C43" s="79">
        <v>0</v>
      </c>
      <c r="D43" s="80" t="str">
        <f t="shared" si="6"/>
        <v> </v>
      </c>
      <c r="E43" s="79">
        <v>50.3</v>
      </c>
      <c r="F43" s="80">
        <f t="shared" si="7"/>
        <v>0.043031910343057575</v>
      </c>
      <c r="G43" s="79">
        <v>0</v>
      </c>
      <c r="H43" s="80" t="str">
        <f t="shared" si="8"/>
        <v> </v>
      </c>
      <c r="I43" s="79">
        <v>0</v>
      </c>
      <c r="J43" s="80" t="str">
        <f t="shared" si="9"/>
        <v> </v>
      </c>
      <c r="K43" s="81"/>
      <c r="L43" s="79"/>
      <c r="M43" s="82"/>
      <c r="N43" s="79"/>
      <c r="O43" s="79">
        <f t="shared" si="12"/>
        <v>0</v>
      </c>
      <c r="P43" s="80" t="str">
        <f t="shared" si="10"/>
        <v> </v>
      </c>
      <c r="Q43" s="83"/>
      <c r="R43" s="44"/>
    </row>
    <row r="44" spans="1:18" ht="15.75" customHeight="1">
      <c r="A44" s="44" t="s">
        <v>47</v>
      </c>
      <c r="B44" s="44"/>
      <c r="C44" s="79">
        <v>50.4</v>
      </c>
      <c r="D44" s="80">
        <f t="shared" si="6"/>
        <v>0.056464261707371725</v>
      </c>
      <c r="E44" s="79">
        <v>19.2</v>
      </c>
      <c r="F44" s="80">
        <f t="shared" si="7"/>
        <v>0.016425699375481224</v>
      </c>
      <c r="G44" s="79">
        <v>149.2</v>
      </c>
      <c r="H44" s="80">
        <f t="shared" si="8"/>
        <v>0.06375251036191941</v>
      </c>
      <c r="I44" s="79">
        <v>0</v>
      </c>
      <c r="J44" s="80" t="str">
        <f t="shared" si="9"/>
        <v> </v>
      </c>
      <c r="K44" s="81"/>
      <c r="L44" s="79"/>
      <c r="M44" s="82"/>
      <c r="N44" s="79"/>
      <c r="O44" s="79">
        <f t="shared" si="12"/>
        <v>0</v>
      </c>
      <c r="P44" s="80" t="str">
        <f t="shared" si="10"/>
        <v> </v>
      </c>
      <c r="Q44" s="83"/>
      <c r="R44" s="44"/>
    </row>
    <row r="45" spans="1:18" ht="15.75" customHeight="1">
      <c r="A45" s="44" t="s">
        <v>48</v>
      </c>
      <c r="B45" s="44"/>
      <c r="C45" s="79">
        <v>0</v>
      </c>
      <c r="D45" s="80" t="str">
        <f>IF(C45&gt;0,+C45/$C$40," ")</f>
        <v> </v>
      </c>
      <c r="E45" s="79">
        <v>0</v>
      </c>
      <c r="F45" s="80" t="str">
        <f aca="true" t="shared" si="13" ref="F45:F55">IF(E45&gt;0,+E45/$E$40," ")</f>
        <v> </v>
      </c>
      <c r="G45" s="79">
        <v>0</v>
      </c>
      <c r="H45" s="80" t="str">
        <f aca="true" t="shared" si="14" ref="H45:H55">IF(G45&gt;0,+G45/$G$40," ")</f>
        <v> </v>
      </c>
      <c r="I45" s="79">
        <v>0</v>
      </c>
      <c r="J45" s="80" t="str">
        <f aca="true" t="shared" si="15" ref="J45:J55">IF(I45&gt;0,+I45/$I$40," ")</f>
        <v> </v>
      </c>
      <c r="K45" s="81"/>
      <c r="L45" s="79"/>
      <c r="M45" s="82" t="s">
        <v>49</v>
      </c>
      <c r="N45" s="79">
        <v>10.3</v>
      </c>
      <c r="O45" s="79">
        <f t="shared" si="12"/>
        <v>10.3</v>
      </c>
      <c r="P45" s="80">
        <f>IF(O45&gt;0,+O45/$O$40," ")</f>
        <v>0.002839499365937035</v>
      </c>
      <c r="Q45" s="83"/>
      <c r="R45" s="44"/>
    </row>
    <row r="46" spans="1:18" ht="15.75" customHeight="1">
      <c r="A46" s="44" t="s">
        <v>50</v>
      </c>
      <c r="B46" s="44"/>
      <c r="C46" s="79">
        <v>0</v>
      </c>
      <c r="D46" s="80" t="str">
        <f>IF(C46&gt;0,+C46/$C$40," ")</f>
        <v> </v>
      </c>
      <c r="E46" s="79">
        <v>0</v>
      </c>
      <c r="F46" s="80" t="str">
        <f t="shared" si="13"/>
        <v> </v>
      </c>
      <c r="G46" s="79">
        <v>0</v>
      </c>
      <c r="H46" s="80" t="str">
        <f t="shared" si="14"/>
        <v> </v>
      </c>
      <c r="I46" s="79">
        <v>0</v>
      </c>
      <c r="J46" s="80" t="str">
        <f t="shared" si="15"/>
        <v> </v>
      </c>
      <c r="K46" s="81"/>
      <c r="L46" s="79"/>
      <c r="M46" s="82" t="s">
        <v>51</v>
      </c>
      <c r="N46" s="79">
        <v>12.1</v>
      </c>
      <c r="O46" s="79">
        <f t="shared" si="12"/>
        <v>12.1</v>
      </c>
      <c r="P46" s="80">
        <f>IF(O46&gt;0,+O46/$O$40," ")</f>
        <v>0.003335722556100789</v>
      </c>
      <c r="Q46" s="83"/>
      <c r="R46" s="44"/>
    </row>
    <row r="47" spans="1:18" ht="15.75" customHeight="1">
      <c r="A47" s="44" t="s">
        <v>52</v>
      </c>
      <c r="B47" s="44"/>
      <c r="C47" s="79">
        <v>94.3</v>
      </c>
      <c r="D47" s="80">
        <f aca="true" t="shared" si="16" ref="D47:D55">IF(C47&gt;0,+C47/$C$40," ")</f>
        <v>0.10564642617073718</v>
      </c>
      <c r="E47" s="79">
        <v>56.7</v>
      </c>
      <c r="F47" s="80">
        <f t="shared" si="13"/>
        <v>0.04850714346821799</v>
      </c>
      <c r="G47" s="79">
        <v>75.7</v>
      </c>
      <c r="H47" s="80">
        <f t="shared" si="14"/>
        <v>0.03234628039140282</v>
      </c>
      <c r="I47" s="79">
        <v>30.8</v>
      </c>
      <c r="J47" s="80">
        <f t="shared" si="15"/>
        <v>0.01318436710757245</v>
      </c>
      <c r="K47" s="81"/>
      <c r="L47" s="79"/>
      <c r="M47" s="82"/>
      <c r="N47" s="79">
        <v>0</v>
      </c>
      <c r="O47" s="79">
        <f t="shared" si="12"/>
        <v>30.8</v>
      </c>
      <c r="P47" s="80">
        <f aca="true" t="shared" si="17" ref="P47:P60">IF(O47&gt;0,+O47/$O$40," ")</f>
        <v>0.008490930142802009</v>
      </c>
      <c r="Q47" s="83"/>
      <c r="R47" s="44"/>
    </row>
    <row r="48" spans="1:18" ht="15.75" customHeight="1">
      <c r="A48" s="44" t="s">
        <v>285</v>
      </c>
      <c r="B48" s="44"/>
      <c r="C48" s="79">
        <v>901.7</v>
      </c>
      <c r="D48" s="80">
        <f t="shared" si="16"/>
        <v>1.010194936141609</v>
      </c>
      <c r="E48" s="79">
        <v>1143.2</v>
      </c>
      <c r="F48" s="80">
        <f t="shared" si="13"/>
        <v>0.9780135169817779</v>
      </c>
      <c r="G48" s="79">
        <v>2189.7</v>
      </c>
      <c r="H48" s="80">
        <f t="shared" si="14"/>
        <v>0.9356492757338803</v>
      </c>
      <c r="I48" s="79">
        <v>2097.1</v>
      </c>
      <c r="J48" s="80">
        <f t="shared" si="15"/>
        <v>0.8976927357561748</v>
      </c>
      <c r="K48" s="81"/>
      <c r="L48" s="79"/>
      <c r="M48" s="82"/>
      <c r="N48" s="79"/>
      <c r="O48" s="79"/>
      <c r="P48" s="80"/>
      <c r="Q48" s="83"/>
      <c r="R48" s="44"/>
    </row>
    <row r="49" spans="1:18" ht="15.75" customHeight="1">
      <c r="A49" s="44" t="s">
        <v>53</v>
      </c>
      <c r="B49" s="44"/>
      <c r="C49" s="79">
        <v>0</v>
      </c>
      <c r="D49" s="80" t="str">
        <f t="shared" si="16"/>
        <v> </v>
      </c>
      <c r="E49" s="79">
        <v>0</v>
      </c>
      <c r="F49" s="80" t="str">
        <f t="shared" si="13"/>
        <v> </v>
      </c>
      <c r="G49" s="79">
        <v>0</v>
      </c>
      <c r="H49" s="80" t="str">
        <f t="shared" si="14"/>
        <v> </v>
      </c>
      <c r="I49" s="79">
        <v>0</v>
      </c>
      <c r="J49" s="80" t="str">
        <f t="shared" si="15"/>
        <v> </v>
      </c>
      <c r="K49" s="81"/>
      <c r="L49" s="79"/>
      <c r="M49" s="82"/>
      <c r="N49" s="79"/>
      <c r="O49" s="79">
        <f t="shared" si="12"/>
        <v>0</v>
      </c>
      <c r="P49" s="80" t="str">
        <f t="shared" si="17"/>
        <v> </v>
      </c>
      <c r="Q49" s="83"/>
      <c r="R49" s="44"/>
    </row>
    <row r="50" spans="1:18" ht="15.75" customHeight="1" hidden="1">
      <c r="A50" s="44" t="s">
        <v>226</v>
      </c>
      <c r="B50" s="44"/>
      <c r="C50" s="79"/>
      <c r="D50" s="80" t="str">
        <f t="shared" si="16"/>
        <v> </v>
      </c>
      <c r="E50" s="79"/>
      <c r="F50" s="80" t="str">
        <f t="shared" si="13"/>
        <v> </v>
      </c>
      <c r="G50" s="79">
        <v>0</v>
      </c>
      <c r="H50" s="80" t="str">
        <f t="shared" si="14"/>
        <v> </v>
      </c>
      <c r="I50" s="79">
        <v>0</v>
      </c>
      <c r="J50" s="80" t="str">
        <f t="shared" si="15"/>
        <v> </v>
      </c>
      <c r="K50" s="81"/>
      <c r="L50" s="79"/>
      <c r="M50" s="82"/>
      <c r="N50" s="79"/>
      <c r="O50" s="79">
        <f t="shared" si="12"/>
        <v>0</v>
      </c>
      <c r="P50" s="80" t="str">
        <f t="shared" si="17"/>
        <v> </v>
      </c>
      <c r="Q50" s="83"/>
      <c r="R50" s="44"/>
    </row>
    <row r="51" spans="1:18" ht="15.75" customHeight="1" hidden="1">
      <c r="A51" s="44" t="s">
        <v>54</v>
      </c>
      <c r="B51" s="44"/>
      <c r="C51" s="79"/>
      <c r="D51" s="80" t="str">
        <f t="shared" si="16"/>
        <v> </v>
      </c>
      <c r="E51" s="79"/>
      <c r="F51" s="80" t="str">
        <f t="shared" si="13"/>
        <v> </v>
      </c>
      <c r="G51" s="79"/>
      <c r="H51" s="80" t="str">
        <f t="shared" si="14"/>
        <v> </v>
      </c>
      <c r="I51" s="79"/>
      <c r="J51" s="80" t="str">
        <f t="shared" si="15"/>
        <v> </v>
      </c>
      <c r="K51" s="81"/>
      <c r="L51" s="79"/>
      <c r="M51" s="82"/>
      <c r="N51" s="79"/>
      <c r="O51" s="79">
        <f t="shared" si="12"/>
        <v>0</v>
      </c>
      <c r="P51" s="80" t="str">
        <f t="shared" si="17"/>
        <v> </v>
      </c>
      <c r="Q51" s="83"/>
      <c r="R51" s="44"/>
    </row>
    <row r="52" spans="1:18" ht="15.75" customHeight="1">
      <c r="A52" s="44" t="s">
        <v>55</v>
      </c>
      <c r="B52" s="44"/>
      <c r="C52" s="79">
        <v>0</v>
      </c>
      <c r="D52" s="80" t="str">
        <f t="shared" si="16"/>
        <v> </v>
      </c>
      <c r="E52" s="79">
        <v>39.9</v>
      </c>
      <c r="F52" s="80">
        <f t="shared" si="13"/>
        <v>0.034134656514671916</v>
      </c>
      <c r="G52" s="79">
        <v>34.1</v>
      </c>
      <c r="H52" s="80">
        <f t="shared" si="14"/>
        <v>0.014570781523736276</v>
      </c>
      <c r="I52" s="79">
        <v>2.8</v>
      </c>
      <c r="J52" s="80">
        <f t="shared" si="15"/>
        <v>0.0011985788279611318</v>
      </c>
      <c r="K52" s="81"/>
      <c r="L52" s="79"/>
      <c r="M52" s="82"/>
      <c r="N52" s="79"/>
      <c r="O52" s="79">
        <f t="shared" si="12"/>
        <v>2.8</v>
      </c>
      <c r="P52" s="80">
        <f t="shared" si="17"/>
        <v>0.0007719027402547279</v>
      </c>
      <c r="Q52" s="83"/>
      <c r="R52" s="44"/>
    </row>
    <row r="53" spans="1:18" ht="15.75" customHeight="1">
      <c r="A53" s="44" t="s">
        <v>56</v>
      </c>
      <c r="B53" s="44"/>
      <c r="C53" s="84">
        <f>SUM(C42:C52)</f>
        <v>1046.4</v>
      </c>
      <c r="D53" s="80">
        <f t="shared" si="16"/>
        <v>1.1723056240197178</v>
      </c>
      <c r="E53" s="84">
        <f>SUM(E42:E52)</f>
        <v>1309.3000000000002</v>
      </c>
      <c r="F53" s="80">
        <f t="shared" si="13"/>
        <v>1.1201129266832066</v>
      </c>
      <c r="G53" s="84">
        <f>SUM(G42:G52)</f>
        <v>2448.7</v>
      </c>
      <c r="H53" s="80">
        <f t="shared" si="14"/>
        <v>1.0463188480109389</v>
      </c>
      <c r="I53" s="84">
        <f>SUM(I42:I52)</f>
        <v>2130.7000000000003</v>
      </c>
      <c r="J53" s="80">
        <f t="shared" si="15"/>
        <v>0.9120756816917086</v>
      </c>
      <c r="K53" s="85"/>
      <c r="L53" s="84">
        <f>SUM(L42:L52)</f>
        <v>0</v>
      </c>
      <c r="M53" s="86"/>
      <c r="N53" s="84">
        <f>SUM(N42:N52)</f>
        <v>22.4</v>
      </c>
      <c r="O53" s="84">
        <f t="shared" si="12"/>
        <v>2153.1000000000004</v>
      </c>
      <c r="P53" s="80">
        <f t="shared" si="17"/>
        <v>0.5935656393008768</v>
      </c>
      <c r="Q53" s="83"/>
      <c r="R53" s="44"/>
    </row>
    <row r="54" spans="1:18" ht="15.75" customHeight="1">
      <c r="A54" s="44" t="s">
        <v>57</v>
      </c>
      <c r="B54" s="44"/>
      <c r="C54" s="79">
        <v>0</v>
      </c>
      <c r="D54" s="80" t="str">
        <f t="shared" si="16"/>
        <v> </v>
      </c>
      <c r="E54" s="79">
        <v>0</v>
      </c>
      <c r="F54" s="80" t="str">
        <f t="shared" si="13"/>
        <v> </v>
      </c>
      <c r="G54" s="79">
        <v>0</v>
      </c>
      <c r="H54" s="80" t="str">
        <f t="shared" si="14"/>
        <v> </v>
      </c>
      <c r="I54" s="79">
        <v>25.2</v>
      </c>
      <c r="J54" s="80">
        <f t="shared" si="15"/>
        <v>0.010787209451650187</v>
      </c>
      <c r="K54" s="81"/>
      <c r="L54" s="79"/>
      <c r="M54" s="82" t="s">
        <v>49</v>
      </c>
      <c r="N54" s="79">
        <v>740.7</v>
      </c>
      <c r="O54" s="79">
        <f t="shared" si="12"/>
        <v>765.9000000000001</v>
      </c>
      <c r="P54" s="80">
        <f t="shared" si="17"/>
        <v>0.21114296741467722</v>
      </c>
      <c r="Q54" s="83"/>
      <c r="R54" s="44"/>
    </row>
    <row r="55" spans="1:18" ht="15.75" customHeight="1">
      <c r="A55" s="44" t="s">
        <v>58</v>
      </c>
      <c r="B55" s="44"/>
      <c r="C55" s="79">
        <v>0</v>
      </c>
      <c r="D55" s="80" t="str">
        <f t="shared" si="16"/>
        <v> </v>
      </c>
      <c r="E55" s="79">
        <v>0</v>
      </c>
      <c r="F55" s="80" t="str">
        <f t="shared" si="13"/>
        <v> </v>
      </c>
      <c r="G55" s="79">
        <v>0</v>
      </c>
      <c r="H55" s="80" t="str">
        <f t="shared" si="14"/>
        <v> </v>
      </c>
      <c r="I55" s="79">
        <v>0</v>
      </c>
      <c r="J55" s="80" t="str">
        <f t="shared" si="15"/>
        <v> </v>
      </c>
      <c r="K55" s="81"/>
      <c r="L55" s="79"/>
      <c r="M55" s="82" t="s">
        <v>253</v>
      </c>
      <c r="N55" s="79">
        <v>395.9</v>
      </c>
      <c r="O55" s="79">
        <f t="shared" si="12"/>
        <v>395.9</v>
      </c>
      <c r="P55" s="80">
        <f t="shared" si="17"/>
        <v>0.10914153388101672</v>
      </c>
      <c r="Q55" s="83"/>
      <c r="R55" s="44"/>
    </row>
    <row r="56" spans="1:18" ht="15.75" customHeight="1" hidden="1">
      <c r="A56" s="44" t="s">
        <v>231</v>
      </c>
      <c r="B56" s="44"/>
      <c r="C56" s="79"/>
      <c r="D56" s="80" t="str">
        <f aca="true" t="shared" si="18" ref="D56:D70">IF(C56&gt;0,+C56/$C$40," ")</f>
        <v> </v>
      </c>
      <c r="E56" s="79"/>
      <c r="F56" s="80" t="str">
        <f aca="true" t="shared" si="19" ref="F56:F70">IF(E56&gt;0,+E56/$E$40," ")</f>
        <v> </v>
      </c>
      <c r="G56" s="79"/>
      <c r="H56" s="80" t="str">
        <f aca="true" t="shared" si="20" ref="H56:H70">IF(G56&gt;0,+G56/$G$40," ")</f>
        <v> </v>
      </c>
      <c r="I56" s="79">
        <v>0</v>
      </c>
      <c r="J56" s="80" t="str">
        <f aca="true" t="shared" si="21" ref="J56:J70">IF(I56&gt;0,+I56/$I$40," ")</f>
        <v> </v>
      </c>
      <c r="K56" s="81"/>
      <c r="L56" s="79"/>
      <c r="M56" s="82"/>
      <c r="N56" s="79"/>
      <c r="O56" s="79">
        <f aca="true" t="shared" si="22" ref="O56:O62">I56-L56+N56</f>
        <v>0</v>
      </c>
      <c r="P56" s="80" t="str">
        <f t="shared" si="17"/>
        <v> </v>
      </c>
      <c r="Q56" s="83"/>
      <c r="R56" s="44"/>
    </row>
    <row r="57" spans="1:18" ht="15.75" customHeight="1" hidden="1">
      <c r="A57" s="44" t="s">
        <v>59</v>
      </c>
      <c r="B57" s="44"/>
      <c r="C57" s="79"/>
      <c r="D57" s="80" t="str">
        <f t="shared" si="18"/>
        <v> </v>
      </c>
      <c r="E57" s="79"/>
      <c r="F57" s="80" t="str">
        <f t="shared" si="19"/>
        <v> </v>
      </c>
      <c r="G57" s="79"/>
      <c r="H57" s="80" t="str">
        <f t="shared" si="20"/>
        <v> </v>
      </c>
      <c r="I57" s="79"/>
      <c r="J57" s="80" t="str">
        <f t="shared" si="21"/>
        <v> </v>
      </c>
      <c r="K57" s="81"/>
      <c r="L57" s="79"/>
      <c r="M57" s="82"/>
      <c r="N57" s="79"/>
      <c r="O57" s="79">
        <f t="shared" si="22"/>
        <v>0</v>
      </c>
      <c r="P57" s="80" t="str">
        <f t="shared" si="17"/>
        <v> </v>
      </c>
      <c r="Q57" s="83"/>
      <c r="R57" s="44"/>
    </row>
    <row r="58" spans="1:18" ht="15.75" customHeight="1">
      <c r="A58" s="44" t="s">
        <v>282</v>
      </c>
      <c r="B58" s="44"/>
      <c r="C58" s="79"/>
      <c r="D58" s="80"/>
      <c r="E58" s="79">
        <v>0</v>
      </c>
      <c r="F58" s="80"/>
      <c r="G58" s="79"/>
      <c r="H58" s="80"/>
      <c r="I58" s="79"/>
      <c r="J58" s="80"/>
      <c r="K58" s="81"/>
      <c r="L58" s="79"/>
      <c r="M58" s="82"/>
      <c r="N58" s="79"/>
      <c r="O58" s="79"/>
      <c r="P58" s="80"/>
      <c r="Q58" s="83"/>
      <c r="R58" s="44"/>
    </row>
    <row r="59" spans="1:18" ht="15.75" customHeight="1">
      <c r="A59" s="44" t="s">
        <v>60</v>
      </c>
      <c r="B59" s="44"/>
      <c r="C59" s="79"/>
      <c r="D59" s="80" t="str">
        <f t="shared" si="18"/>
        <v> </v>
      </c>
      <c r="E59" s="79">
        <v>0</v>
      </c>
      <c r="F59" s="80" t="str">
        <f t="shared" si="19"/>
        <v> </v>
      </c>
      <c r="G59" s="79"/>
      <c r="H59" s="80" t="str">
        <f t="shared" si="20"/>
        <v> </v>
      </c>
      <c r="I59" s="79"/>
      <c r="J59" s="80" t="str">
        <f t="shared" si="21"/>
        <v> </v>
      </c>
      <c r="K59" s="81"/>
      <c r="L59" s="79"/>
      <c r="M59" s="82"/>
      <c r="N59" s="79"/>
      <c r="O59" s="79">
        <f t="shared" si="22"/>
        <v>0</v>
      </c>
      <c r="P59" s="80" t="str">
        <f t="shared" si="17"/>
        <v> </v>
      </c>
      <c r="Q59" s="83"/>
      <c r="R59" s="44"/>
    </row>
    <row r="60" spans="1:18" ht="15.75" customHeight="1">
      <c r="A60" s="44" t="s">
        <v>61</v>
      </c>
      <c r="B60" s="44"/>
      <c r="C60" s="79">
        <v>25.2</v>
      </c>
      <c r="D60" s="80">
        <f t="shared" si="18"/>
        <v>0.028232130853685863</v>
      </c>
      <c r="E60" s="79">
        <v>15.3</v>
      </c>
      <c r="F60" s="80">
        <f t="shared" si="19"/>
        <v>0.0130892291898366</v>
      </c>
      <c r="G60" s="79">
        <v>12.6</v>
      </c>
      <c r="H60" s="80">
        <f t="shared" si="20"/>
        <v>0.005383925137802846</v>
      </c>
      <c r="I60" s="79">
        <v>198</v>
      </c>
      <c r="J60" s="80">
        <f t="shared" si="21"/>
        <v>0.08475664569153718</v>
      </c>
      <c r="K60" s="81"/>
      <c r="L60" s="79">
        <v>198</v>
      </c>
      <c r="M60" s="82" t="s">
        <v>288</v>
      </c>
      <c r="N60" s="79"/>
      <c r="O60" s="79">
        <f t="shared" si="22"/>
        <v>0</v>
      </c>
      <c r="P60" s="80" t="str">
        <f t="shared" si="17"/>
        <v> </v>
      </c>
      <c r="Q60" s="83"/>
      <c r="R60" s="44"/>
    </row>
    <row r="61" spans="1:18" ht="15.75" customHeight="1">
      <c r="A61" s="44" t="s">
        <v>62</v>
      </c>
      <c r="B61" s="44"/>
      <c r="C61" s="79"/>
      <c r="D61" s="80" t="str">
        <f t="shared" si="18"/>
        <v> </v>
      </c>
      <c r="E61" s="79"/>
      <c r="F61" s="80" t="str">
        <f t="shared" si="19"/>
        <v> </v>
      </c>
      <c r="G61" s="79"/>
      <c r="H61" s="80" t="str">
        <f t="shared" si="20"/>
        <v> </v>
      </c>
      <c r="I61" s="79"/>
      <c r="J61" s="80" t="str">
        <f t="shared" si="21"/>
        <v> </v>
      </c>
      <c r="K61" s="81"/>
      <c r="L61" s="79"/>
      <c r="M61" s="82"/>
      <c r="N61" s="79"/>
      <c r="O61" s="79">
        <f t="shared" si="22"/>
        <v>0</v>
      </c>
      <c r="P61" s="80" t="str">
        <f>IF(O61&gt;0,+O61/$O$40," ")</f>
        <v> </v>
      </c>
      <c r="Q61" s="83"/>
      <c r="R61" s="44"/>
    </row>
    <row r="62" spans="1:18" ht="15.75" customHeight="1">
      <c r="A62" s="44" t="s">
        <v>63</v>
      </c>
      <c r="B62" s="44"/>
      <c r="C62" s="43">
        <f>SUM(C54:C61)+C53</f>
        <v>1071.6000000000001</v>
      </c>
      <c r="D62" s="80">
        <f t="shared" si="18"/>
        <v>1.2005377548734038</v>
      </c>
      <c r="E62" s="43">
        <f>SUM(E54:E61)+E53</f>
        <v>1324.6000000000001</v>
      </c>
      <c r="F62" s="80">
        <f t="shared" si="19"/>
        <v>1.1332021558730432</v>
      </c>
      <c r="G62" s="43">
        <f>SUM(G54:G61)+G53</f>
        <v>2461.2999999999997</v>
      </c>
      <c r="H62" s="80">
        <f t="shared" si="20"/>
        <v>1.0517027731487416</v>
      </c>
      <c r="I62" s="43">
        <f>SUM(I54:I61)+I53</f>
        <v>2353.9</v>
      </c>
      <c r="J62" s="80">
        <f t="shared" si="21"/>
        <v>1.007619536834896</v>
      </c>
      <c r="K62" s="87"/>
      <c r="L62" s="43">
        <f>SUM(L54:L61)+L53</f>
        <v>198</v>
      </c>
      <c r="M62" s="88"/>
      <c r="N62" s="43">
        <f>SUM(N54:N61)+N53</f>
        <v>1159</v>
      </c>
      <c r="O62" s="43">
        <f t="shared" si="22"/>
        <v>3314.9</v>
      </c>
      <c r="P62" s="80">
        <f aca="true" t="shared" si="23" ref="P62:P70">IF(O62&gt;0,+O62/$O$40," ")</f>
        <v>0.9138501405965707</v>
      </c>
      <c r="Q62" s="89"/>
      <c r="R62" s="44"/>
    </row>
    <row r="63" spans="1:18" ht="15.75" customHeight="1">
      <c r="A63" s="44" t="s">
        <v>64</v>
      </c>
      <c r="B63" s="44"/>
      <c r="C63" s="79">
        <v>1</v>
      </c>
      <c r="D63" s="80">
        <f t="shared" si="18"/>
        <v>0.0011203226529240423</v>
      </c>
      <c r="E63" s="79">
        <v>1</v>
      </c>
      <c r="F63" s="80">
        <f t="shared" si="19"/>
        <v>0.0008555051758063137</v>
      </c>
      <c r="G63" s="79">
        <v>1</v>
      </c>
      <c r="H63" s="80">
        <f t="shared" si="20"/>
        <v>0.0004272956458573688</v>
      </c>
      <c r="I63" s="79">
        <v>1</v>
      </c>
      <c r="J63" s="80">
        <f t="shared" si="21"/>
        <v>0.0004280638671289757</v>
      </c>
      <c r="K63" s="81"/>
      <c r="L63" s="79"/>
      <c r="M63" s="82"/>
      <c r="N63" s="79"/>
      <c r="O63" s="79">
        <f aca="true" t="shared" si="24" ref="O63:O69">I63-L63+N63</f>
        <v>1</v>
      </c>
      <c r="P63" s="80">
        <f t="shared" si="23"/>
        <v>0.00027567955009097426</v>
      </c>
      <c r="Q63" s="83"/>
      <c r="R63" s="44"/>
    </row>
    <row r="64" spans="1:18" ht="15.75" customHeight="1" hidden="1">
      <c r="A64" s="44" t="s">
        <v>65</v>
      </c>
      <c r="B64" s="44"/>
      <c r="C64" s="79"/>
      <c r="D64" s="80" t="str">
        <f t="shared" si="18"/>
        <v> </v>
      </c>
      <c r="E64" s="79"/>
      <c r="F64" s="80" t="str">
        <f t="shared" si="19"/>
        <v> </v>
      </c>
      <c r="G64" s="79"/>
      <c r="H64" s="80" t="str">
        <f t="shared" si="20"/>
        <v> </v>
      </c>
      <c r="I64" s="79"/>
      <c r="J64" s="80" t="str">
        <f t="shared" si="21"/>
        <v> </v>
      </c>
      <c r="K64" s="81"/>
      <c r="L64" s="79"/>
      <c r="M64" s="82"/>
      <c r="N64" s="79"/>
      <c r="O64" s="79">
        <f t="shared" si="24"/>
        <v>0</v>
      </c>
      <c r="P64" s="80" t="str">
        <f t="shared" si="23"/>
        <v> </v>
      </c>
      <c r="Q64" s="83"/>
      <c r="R64" s="44"/>
    </row>
    <row r="65" spans="1:18" ht="15.75" customHeight="1">
      <c r="A65" s="44" t="s">
        <v>66</v>
      </c>
      <c r="B65" s="44"/>
      <c r="C65" s="79">
        <v>0</v>
      </c>
      <c r="D65" s="80" t="str">
        <f t="shared" si="18"/>
        <v> </v>
      </c>
      <c r="E65" s="79">
        <v>0</v>
      </c>
      <c r="F65" s="80" t="str">
        <f t="shared" si="19"/>
        <v> </v>
      </c>
      <c r="G65" s="79">
        <v>0</v>
      </c>
      <c r="H65" s="80" t="str">
        <f t="shared" si="20"/>
        <v> </v>
      </c>
      <c r="I65" s="79">
        <v>0</v>
      </c>
      <c r="J65" s="80" t="str">
        <f t="shared" si="21"/>
        <v> </v>
      </c>
      <c r="K65" s="81"/>
      <c r="L65" s="79"/>
      <c r="M65" s="82" t="s">
        <v>67</v>
      </c>
      <c r="N65" s="79">
        <v>132.3</v>
      </c>
      <c r="O65" s="79">
        <f t="shared" si="24"/>
        <v>132.3</v>
      </c>
      <c r="P65" s="80">
        <f t="shared" si="23"/>
        <v>0.0364724044770359</v>
      </c>
      <c r="Q65" s="83"/>
      <c r="R65" s="44"/>
    </row>
    <row r="66" spans="1:18" ht="15.75" customHeight="1" hidden="1">
      <c r="A66" s="44" t="s">
        <v>219</v>
      </c>
      <c r="B66" s="44"/>
      <c r="C66" s="79"/>
      <c r="D66" s="80" t="str">
        <f t="shared" si="18"/>
        <v> </v>
      </c>
      <c r="E66" s="79"/>
      <c r="F66" s="80" t="str">
        <f t="shared" si="19"/>
        <v> </v>
      </c>
      <c r="G66" s="79">
        <v>0</v>
      </c>
      <c r="H66" s="80" t="str">
        <f t="shared" si="20"/>
        <v> </v>
      </c>
      <c r="I66" s="79">
        <v>0</v>
      </c>
      <c r="J66" s="80" t="str">
        <f t="shared" si="21"/>
        <v> </v>
      </c>
      <c r="K66" s="81"/>
      <c r="L66" s="79"/>
      <c r="M66" s="82" t="s">
        <v>221</v>
      </c>
      <c r="N66" s="79">
        <v>0</v>
      </c>
      <c r="O66" s="79">
        <f t="shared" si="24"/>
        <v>0</v>
      </c>
      <c r="P66" s="80" t="str">
        <f t="shared" si="23"/>
        <v> </v>
      </c>
      <c r="Q66" s="83"/>
      <c r="R66" s="44"/>
    </row>
    <row r="67" spans="1:18" ht="15.75" customHeight="1" hidden="1">
      <c r="A67" s="44" t="s">
        <v>68</v>
      </c>
      <c r="B67" s="44"/>
      <c r="C67" s="79"/>
      <c r="D67" s="80" t="str">
        <f t="shared" si="18"/>
        <v> </v>
      </c>
      <c r="E67" s="79"/>
      <c r="F67" s="80" t="str">
        <f t="shared" si="19"/>
        <v> </v>
      </c>
      <c r="G67" s="79"/>
      <c r="H67" s="80" t="str">
        <f t="shared" si="20"/>
        <v> </v>
      </c>
      <c r="I67" s="79"/>
      <c r="J67" s="80" t="str">
        <f t="shared" si="21"/>
        <v> </v>
      </c>
      <c r="K67" s="81"/>
      <c r="L67" s="79"/>
      <c r="M67" s="82"/>
      <c r="N67" s="79"/>
      <c r="O67" s="79">
        <f t="shared" si="24"/>
        <v>0</v>
      </c>
      <c r="P67" s="80" t="str">
        <f t="shared" si="23"/>
        <v> </v>
      </c>
      <c r="Q67" s="83"/>
      <c r="R67" s="44"/>
    </row>
    <row r="68" spans="1:18" ht="15.75" customHeight="1">
      <c r="A68" s="44" t="s">
        <v>229</v>
      </c>
      <c r="B68" s="44"/>
      <c r="C68" s="79">
        <v>-180</v>
      </c>
      <c r="D68" s="80" t="str">
        <f t="shared" si="18"/>
        <v> </v>
      </c>
      <c r="E68" s="79">
        <v>-156.7</v>
      </c>
      <c r="F68" s="80" t="str">
        <f t="shared" si="19"/>
        <v> </v>
      </c>
      <c r="G68" s="79">
        <v>-122</v>
      </c>
      <c r="H68" s="80" t="str">
        <f t="shared" si="20"/>
        <v> </v>
      </c>
      <c r="I68" s="79">
        <v>-18.8</v>
      </c>
      <c r="J68" s="80" t="str">
        <f t="shared" si="21"/>
        <v> </v>
      </c>
      <c r="K68" s="81"/>
      <c r="L68" s="79"/>
      <c r="M68" s="82" t="s">
        <v>288</v>
      </c>
      <c r="N68" s="79">
        <v>198</v>
      </c>
      <c r="O68" s="79">
        <f t="shared" si="24"/>
        <v>179.2</v>
      </c>
      <c r="P68" s="80">
        <f t="shared" si="23"/>
        <v>0.04940177537630259</v>
      </c>
      <c r="Q68" s="83"/>
      <c r="R68" s="44"/>
    </row>
    <row r="69" spans="1:18" ht="15.75" customHeight="1">
      <c r="A69" s="44" t="s">
        <v>69</v>
      </c>
      <c r="B69" s="44"/>
      <c r="C69" s="84">
        <f>SUM(C63:C68)</f>
        <v>-179</v>
      </c>
      <c r="D69" s="80" t="str">
        <f t="shared" si="18"/>
        <v> </v>
      </c>
      <c r="E69" s="84">
        <f>SUM(E63:E68)</f>
        <v>-155.7</v>
      </c>
      <c r="F69" s="80" t="str">
        <f t="shared" si="19"/>
        <v> </v>
      </c>
      <c r="G69" s="84">
        <f>SUM(G63:G68)</f>
        <v>-121</v>
      </c>
      <c r="H69" s="80" t="str">
        <f t="shared" si="20"/>
        <v> </v>
      </c>
      <c r="I69" s="84">
        <f>SUM(I63:I68)</f>
        <v>-17.8</v>
      </c>
      <c r="J69" s="80" t="str">
        <f t="shared" si="21"/>
        <v> </v>
      </c>
      <c r="K69" s="85"/>
      <c r="L69" s="84">
        <f>SUM(L63:L68)</f>
        <v>0</v>
      </c>
      <c r="M69" s="86"/>
      <c r="N69" s="84">
        <f>SUM(N63:N68)</f>
        <v>330.3</v>
      </c>
      <c r="O69" s="84">
        <f t="shared" si="24"/>
        <v>312.5</v>
      </c>
      <c r="P69" s="80">
        <f t="shared" si="23"/>
        <v>0.08614985940342947</v>
      </c>
      <c r="Q69" s="83">
        <v>34.6</v>
      </c>
      <c r="R69" s="44"/>
    </row>
    <row r="70" spans="1:18" ht="15.75" customHeight="1">
      <c r="A70" s="44" t="s">
        <v>70</v>
      </c>
      <c r="B70" s="44"/>
      <c r="C70" s="43">
        <f>C69+C62</f>
        <v>892.6000000000001</v>
      </c>
      <c r="D70" s="80">
        <f t="shared" si="18"/>
        <v>1.0000000000000002</v>
      </c>
      <c r="E70" s="43">
        <f>E69+E62</f>
        <v>1168.9</v>
      </c>
      <c r="F70" s="80">
        <f t="shared" si="19"/>
        <v>1.0000000000000002</v>
      </c>
      <c r="G70" s="43">
        <f>G69+G62</f>
        <v>2340.2999999999997</v>
      </c>
      <c r="H70" s="80">
        <f t="shared" si="20"/>
        <v>1</v>
      </c>
      <c r="I70" s="43">
        <f>I69+I62</f>
        <v>2336.1</v>
      </c>
      <c r="J70" s="80">
        <f t="shared" si="21"/>
        <v>1</v>
      </c>
      <c r="K70" s="87"/>
      <c r="L70" s="43">
        <f>L40+L69+L62</f>
        <v>1489.3</v>
      </c>
      <c r="M70" s="88"/>
      <c r="N70" s="43">
        <f>N40+N69+N62</f>
        <v>1489.3</v>
      </c>
      <c r="O70" s="43">
        <f>O69+O62</f>
        <v>3627.4</v>
      </c>
      <c r="P70" s="80">
        <f t="shared" si="23"/>
        <v>1.0000000000000002</v>
      </c>
      <c r="Q70" s="89"/>
      <c r="R70" s="44"/>
    </row>
    <row r="71" spans="1:18" ht="15.75" customHeight="1">
      <c r="A71" s="44"/>
      <c r="B71" s="44"/>
      <c r="C71" s="83"/>
      <c r="D71" s="45"/>
      <c r="E71" s="83"/>
      <c r="F71" s="45"/>
      <c r="G71" s="90"/>
      <c r="H71" s="45"/>
      <c r="I71" s="83"/>
      <c r="J71" s="45"/>
      <c r="K71" s="44"/>
      <c r="L71" s="44"/>
      <c r="M71" s="44"/>
      <c r="N71" s="47"/>
      <c r="O71" s="47"/>
      <c r="P71" s="45"/>
      <c r="Q71" s="44"/>
      <c r="R71" s="44"/>
    </row>
    <row r="72" spans="1:18" ht="15.75" customHeight="1">
      <c r="A72" s="44"/>
      <c r="B72" s="44"/>
      <c r="C72" s="44"/>
      <c r="D72" s="45"/>
      <c r="E72" s="44"/>
      <c r="F72" s="45"/>
      <c r="G72" s="90"/>
      <c r="H72" s="45"/>
      <c r="I72" s="44"/>
      <c r="J72" s="45"/>
      <c r="K72" s="44"/>
      <c r="L72" s="44"/>
      <c r="M72" s="44"/>
      <c r="N72" s="47"/>
      <c r="O72" s="47"/>
      <c r="P72" s="45"/>
      <c r="Q72" s="44"/>
      <c r="R72" s="44"/>
    </row>
    <row r="73" spans="1:18" ht="15.75" customHeight="1">
      <c r="A73" s="44"/>
      <c r="B73" s="44"/>
      <c r="C73" s="44"/>
      <c r="D73" s="45"/>
      <c r="E73" s="44"/>
      <c r="F73" s="45"/>
      <c r="G73" s="90"/>
      <c r="H73" s="45"/>
      <c r="I73" s="44"/>
      <c r="J73" s="45"/>
      <c r="K73" s="44"/>
      <c r="L73" s="44"/>
      <c r="M73" s="44"/>
      <c r="N73" s="47"/>
      <c r="O73" s="47"/>
      <c r="P73" s="45"/>
      <c r="Q73" s="44"/>
      <c r="R73" s="44"/>
    </row>
    <row r="74" spans="1:18" ht="15.75" customHeight="1">
      <c r="A74" s="44"/>
      <c r="B74" s="44"/>
      <c r="C74" s="44"/>
      <c r="D74" s="45"/>
      <c r="E74" s="44"/>
      <c r="F74" s="45"/>
      <c r="G74" s="90"/>
      <c r="H74" s="45"/>
      <c r="I74" s="44"/>
      <c r="J74" s="45"/>
      <c r="K74" s="44"/>
      <c r="L74" s="44"/>
      <c r="M74" s="44"/>
      <c r="N74" s="47"/>
      <c r="O74" s="47"/>
      <c r="P74" s="45"/>
      <c r="Q74" s="44"/>
      <c r="R74" s="44"/>
    </row>
    <row r="75" spans="1:18" ht="15.75" customHeight="1">
      <c r="A75" s="44"/>
      <c r="B75" s="44"/>
      <c r="C75" s="44"/>
      <c r="D75" s="45"/>
      <c r="E75" s="44"/>
      <c r="F75" s="45"/>
      <c r="G75" s="90"/>
      <c r="H75" s="45"/>
      <c r="I75" s="44"/>
      <c r="J75" s="45"/>
      <c r="K75" s="44"/>
      <c r="L75" s="44"/>
      <c r="M75" s="44"/>
      <c r="N75" s="47"/>
      <c r="O75" s="47"/>
      <c r="P75" s="45"/>
      <c r="Q75" s="44"/>
      <c r="R75" s="44"/>
    </row>
    <row r="76" spans="1:18" ht="15.75" customHeight="1">
      <c r="A76" s="44"/>
      <c r="B76" s="44"/>
      <c r="C76" s="44"/>
      <c r="D76" s="45"/>
      <c r="E76" s="44"/>
      <c r="F76" s="45"/>
      <c r="G76" s="90"/>
      <c r="H76" s="45"/>
      <c r="I76" s="44"/>
      <c r="J76" s="45"/>
      <c r="K76" s="44"/>
      <c r="L76" s="44"/>
      <c r="M76" s="44"/>
      <c r="N76" s="47"/>
      <c r="O76" s="47"/>
      <c r="P76" s="45"/>
      <c r="Q76" s="44"/>
      <c r="R76" s="44"/>
    </row>
    <row r="77" spans="1:18" ht="15.75" customHeight="1">
      <c r="A77" s="44"/>
      <c r="B77" s="44"/>
      <c r="C77" s="44"/>
      <c r="D77" s="45"/>
      <c r="E77" s="44"/>
      <c r="F77" s="45"/>
      <c r="G77" s="44"/>
      <c r="H77" s="45"/>
      <c r="I77" s="44"/>
      <c r="J77" s="45"/>
      <c r="K77" s="44"/>
      <c r="L77" s="44"/>
      <c r="M77" s="44"/>
      <c r="N77" s="47"/>
      <c r="O77" s="47"/>
      <c r="P77" s="45"/>
      <c r="Q77" s="44"/>
      <c r="R77" s="44"/>
    </row>
    <row r="78" spans="1:18" ht="15.75" customHeight="1">
      <c r="A78" s="44"/>
      <c r="B78" s="44"/>
      <c r="C78" s="44"/>
      <c r="D78" s="45"/>
      <c r="E78" s="44"/>
      <c r="F78" s="45"/>
      <c r="G78" s="44"/>
      <c r="H78" s="45"/>
      <c r="I78" s="44"/>
      <c r="J78" s="45"/>
      <c r="K78" s="44"/>
      <c r="L78" s="44"/>
      <c r="M78" s="44"/>
      <c r="N78" s="47"/>
      <c r="O78" s="47"/>
      <c r="P78" s="45"/>
      <c r="Q78" s="44"/>
      <c r="R78" s="44"/>
    </row>
    <row r="79" spans="1:18" ht="15.75" customHeight="1">
      <c r="A79" s="44"/>
      <c r="B79" s="44"/>
      <c r="C79" s="44"/>
      <c r="D79" s="45"/>
      <c r="E79" s="44"/>
      <c r="F79" s="45"/>
      <c r="G79" s="44"/>
      <c r="H79" s="45"/>
      <c r="I79" s="44"/>
      <c r="J79" s="45"/>
      <c r="K79" s="44"/>
      <c r="L79" s="44"/>
      <c r="M79" s="44"/>
      <c r="N79" s="47"/>
      <c r="O79" s="47"/>
      <c r="P79" s="45"/>
      <c r="Q79" s="44"/>
      <c r="R79" s="44"/>
    </row>
    <row r="80" spans="1:18" ht="15.75" customHeight="1">
      <c r="A80" s="44"/>
      <c r="B80" s="44"/>
      <c r="C80" s="44"/>
      <c r="D80" s="45"/>
      <c r="E80" s="44"/>
      <c r="F80" s="45"/>
      <c r="G80" s="44"/>
      <c r="H80" s="45"/>
      <c r="I80" s="44"/>
      <c r="J80" s="45"/>
      <c r="K80" s="44"/>
      <c r="L80" s="44"/>
      <c r="M80" s="44"/>
      <c r="N80" s="47"/>
      <c r="O80" s="47"/>
      <c r="P80" s="45"/>
      <c r="Q80" s="44"/>
      <c r="R80" s="44"/>
    </row>
    <row r="81" spans="1:18" ht="15.75" customHeight="1">
      <c r="A81" s="44"/>
      <c r="B81" s="44"/>
      <c r="C81" s="44"/>
      <c r="D81" s="45"/>
      <c r="E81" s="44"/>
      <c r="F81" s="45"/>
      <c r="G81" s="44"/>
      <c r="H81" s="45"/>
      <c r="I81" s="44"/>
      <c r="J81" s="45"/>
      <c r="K81" s="44"/>
      <c r="L81" s="44"/>
      <c r="M81" s="44"/>
      <c r="N81" s="47"/>
      <c r="O81" s="47"/>
      <c r="P81" s="45"/>
      <c r="Q81" s="44"/>
      <c r="R81" s="44"/>
    </row>
    <row r="82" spans="1:18" ht="15.75" customHeight="1">
      <c r="A82" s="44"/>
      <c r="B82" s="44"/>
      <c r="C82" s="44"/>
      <c r="D82" s="45"/>
      <c r="E82" s="44"/>
      <c r="F82" s="45"/>
      <c r="G82" s="44"/>
      <c r="H82" s="45"/>
      <c r="I82" s="44"/>
      <c r="J82" s="45"/>
      <c r="K82" s="44"/>
      <c r="L82" s="44"/>
      <c r="M82" s="44"/>
      <c r="N82" s="47"/>
      <c r="O82" s="47"/>
      <c r="P82" s="45"/>
      <c r="Q82" s="44"/>
      <c r="R82" s="44"/>
    </row>
    <row r="83" spans="1:18" ht="15.75" customHeight="1">
      <c r="A83" s="44"/>
      <c r="B83" s="44"/>
      <c r="C83" s="44"/>
      <c r="D83" s="45"/>
      <c r="E83" s="44"/>
      <c r="F83" s="45"/>
      <c r="G83" s="44"/>
      <c r="H83" s="45"/>
      <c r="I83" s="44"/>
      <c r="J83" s="45"/>
      <c r="K83" s="44"/>
      <c r="L83" s="44"/>
      <c r="M83" s="44"/>
      <c r="N83" s="47"/>
      <c r="O83" s="47"/>
      <c r="P83" s="45"/>
      <c r="Q83" s="44"/>
      <c r="R83" s="44"/>
    </row>
    <row r="84" spans="1:18" ht="15.75" customHeight="1">
      <c r="A84" s="44"/>
      <c r="B84" s="44"/>
      <c r="C84" s="44"/>
      <c r="D84" s="45"/>
      <c r="E84" s="44"/>
      <c r="F84" s="45"/>
      <c r="G84" s="44"/>
      <c r="H84" s="45"/>
      <c r="I84" s="44"/>
      <c r="J84" s="45"/>
      <c r="K84" s="44"/>
      <c r="L84" s="44"/>
      <c r="M84" s="44"/>
      <c r="N84" s="47"/>
      <c r="O84" s="47"/>
      <c r="P84" s="45"/>
      <c r="Q84" s="44"/>
      <c r="R84" s="44"/>
    </row>
    <row r="85" spans="4:6" ht="15.75" customHeight="1">
      <c r="D85" s="91"/>
      <c r="F85" s="91"/>
    </row>
    <row r="86" spans="4:6" ht="15.75" customHeight="1">
      <c r="D86" s="91"/>
      <c r="F86" s="91"/>
    </row>
    <row r="87" spans="4:6" ht="15.75" customHeight="1">
      <c r="D87" s="91"/>
      <c r="F87" s="91"/>
    </row>
    <row r="88" spans="4:6" ht="15.75" customHeight="1">
      <c r="D88" s="91"/>
      <c r="F88" s="91"/>
    </row>
    <row r="89" spans="4:6" ht="15.75" customHeight="1">
      <c r="D89" s="91"/>
      <c r="F89" s="91"/>
    </row>
    <row r="90" spans="4:6" ht="15.75" customHeight="1">
      <c r="D90" s="91"/>
      <c r="F90" s="91"/>
    </row>
    <row r="91" spans="4:6" ht="15.75" customHeight="1">
      <c r="D91" s="91"/>
      <c r="F91" s="91"/>
    </row>
    <row r="92" spans="4:6" ht="15.75" customHeight="1">
      <c r="D92" s="91"/>
      <c r="F92" s="91"/>
    </row>
    <row r="93" spans="4:6" ht="15.75" customHeight="1">
      <c r="D93" s="91"/>
      <c r="F93" s="91"/>
    </row>
    <row r="94" spans="4:6" ht="15.75" customHeight="1">
      <c r="D94" s="91"/>
      <c r="F94" s="91"/>
    </row>
    <row r="95" spans="4:6" ht="15.75" customHeight="1">
      <c r="D95" s="91"/>
      <c r="F95" s="91"/>
    </row>
    <row r="96" spans="4:6" ht="15.75" customHeight="1">
      <c r="D96" s="91"/>
      <c r="F96" s="91"/>
    </row>
    <row r="97" spans="4:6" ht="15.75" customHeight="1">
      <c r="D97" s="91"/>
      <c r="F97" s="91"/>
    </row>
    <row r="98" spans="4:6" ht="15.75" customHeight="1">
      <c r="D98" s="91"/>
      <c r="F98" s="91"/>
    </row>
    <row r="99" spans="4:6" ht="15.75" customHeight="1">
      <c r="D99" s="91"/>
      <c r="F99" s="91"/>
    </row>
    <row r="100" spans="4:6" ht="15.75" customHeight="1">
      <c r="D100" s="91"/>
      <c r="F100" s="91"/>
    </row>
    <row r="101" spans="4:6" ht="15.75" customHeight="1">
      <c r="D101" s="91"/>
      <c r="F101" s="91"/>
    </row>
    <row r="102" spans="4:6" ht="15.75" customHeight="1">
      <c r="D102" s="91"/>
      <c r="F102" s="91"/>
    </row>
    <row r="103" spans="4:6" ht="15.75" customHeight="1">
      <c r="D103" s="91"/>
      <c r="F103" s="91"/>
    </row>
    <row r="104" spans="4:6" ht="15.75" customHeight="1">
      <c r="D104" s="91"/>
      <c r="F104" s="91"/>
    </row>
    <row r="105" spans="4:6" ht="15.75" customHeight="1">
      <c r="D105" s="91"/>
      <c r="F105" s="91"/>
    </row>
    <row r="106" spans="4:6" ht="15.75" customHeight="1">
      <c r="D106" s="91"/>
      <c r="F106" s="91"/>
    </row>
    <row r="107" spans="4:6" ht="15.75" customHeight="1">
      <c r="D107" s="91"/>
      <c r="F107" s="91"/>
    </row>
    <row r="108" spans="4:6" ht="15.75" customHeight="1">
      <c r="D108" s="91"/>
      <c r="F108" s="91"/>
    </row>
    <row r="109" spans="4:6" ht="15.75" customHeight="1">
      <c r="D109" s="91"/>
      <c r="F109" s="91"/>
    </row>
    <row r="110" spans="4:6" ht="15.75" customHeight="1">
      <c r="D110" s="91"/>
      <c r="F110" s="91"/>
    </row>
    <row r="111" spans="4:6" ht="15.75" customHeight="1">
      <c r="D111" s="91"/>
      <c r="F111" s="91"/>
    </row>
    <row r="112" spans="4:6" ht="15.75" customHeight="1">
      <c r="D112" s="91"/>
      <c r="F112" s="91"/>
    </row>
    <row r="113" spans="4:6" ht="15.75" customHeight="1">
      <c r="D113" s="91"/>
      <c r="F113" s="91"/>
    </row>
    <row r="114" spans="4:6" ht="15.75" customHeight="1">
      <c r="D114" s="91"/>
      <c r="F114" s="91"/>
    </row>
    <row r="115" spans="4:6" ht="15.75" customHeight="1">
      <c r="D115" s="91"/>
      <c r="F115" s="91"/>
    </row>
    <row r="116" spans="4:6" ht="15.75" customHeight="1">
      <c r="D116" s="91"/>
      <c r="F116" s="91"/>
    </row>
    <row r="117" spans="4:6" ht="15.75" customHeight="1">
      <c r="D117" s="91"/>
      <c r="F117" s="91"/>
    </row>
    <row r="118" spans="4:6" ht="15.75" customHeight="1">
      <c r="D118" s="91"/>
      <c r="F118" s="91"/>
    </row>
    <row r="119" spans="4:6" ht="15.75" customHeight="1">
      <c r="D119" s="91"/>
      <c r="F119" s="91"/>
    </row>
    <row r="120" spans="4:6" ht="15.75" customHeight="1">
      <c r="D120" s="91"/>
      <c r="F120" s="91"/>
    </row>
    <row r="121" spans="4:6" ht="15.75" customHeight="1">
      <c r="D121" s="91"/>
      <c r="F121" s="91"/>
    </row>
    <row r="122" spans="4:6" ht="15.75" customHeight="1">
      <c r="D122" s="91"/>
      <c r="F122" s="91"/>
    </row>
    <row r="123" spans="4:6" ht="15.75" customHeight="1">
      <c r="D123" s="91"/>
      <c r="F123" s="91"/>
    </row>
    <row r="124" spans="4:6" ht="15.75" customHeight="1">
      <c r="D124" s="91"/>
      <c r="F124" s="91"/>
    </row>
    <row r="125" spans="4:6" ht="15.75" customHeight="1">
      <c r="D125" s="91"/>
      <c r="F125" s="91"/>
    </row>
    <row r="126" spans="4:6" ht="15.75" customHeight="1">
      <c r="D126" s="91"/>
      <c r="F126" s="91"/>
    </row>
    <row r="127" spans="4:6" ht="15.75" customHeight="1">
      <c r="D127" s="91"/>
      <c r="F127" s="91"/>
    </row>
    <row r="128" spans="4:6" ht="15.75" customHeight="1">
      <c r="D128" s="91"/>
      <c r="F128" s="91"/>
    </row>
    <row r="129" spans="4:6" ht="15.75" customHeight="1">
      <c r="D129" s="91"/>
      <c r="F129" s="91"/>
    </row>
    <row r="130" spans="4:6" ht="15.75" customHeight="1">
      <c r="D130" s="91"/>
      <c r="F130" s="91"/>
    </row>
    <row r="131" spans="4:6" ht="15.75" customHeight="1">
      <c r="D131" s="91"/>
      <c r="F131" s="91"/>
    </row>
    <row r="132" spans="4:6" ht="15.75" customHeight="1">
      <c r="D132" s="91"/>
      <c r="F132" s="91"/>
    </row>
    <row r="133" spans="4:6" ht="15.75" customHeight="1">
      <c r="D133" s="91"/>
      <c r="F133" s="91"/>
    </row>
    <row r="134" spans="4:6" ht="15.75" customHeight="1">
      <c r="D134" s="91"/>
      <c r="F134" s="91"/>
    </row>
    <row r="135" spans="4:6" ht="15.75" customHeight="1">
      <c r="D135" s="91"/>
      <c r="F135" s="91"/>
    </row>
    <row r="136" spans="1:6" ht="15.75" customHeight="1">
      <c r="A136" s="31" t="s">
        <v>71</v>
      </c>
      <c r="D136" s="91"/>
      <c r="F136" s="91"/>
    </row>
    <row r="137" spans="4:6" ht="15.75" customHeight="1">
      <c r="D137" s="91"/>
      <c r="F137" s="91"/>
    </row>
    <row r="138" spans="4:6" ht="15.75" customHeight="1">
      <c r="D138" s="91"/>
      <c r="F138" s="91"/>
    </row>
    <row r="139" spans="4:6" ht="15.75" customHeight="1">
      <c r="D139" s="91"/>
      <c r="F139" s="91"/>
    </row>
    <row r="140" spans="4:6" ht="15.75" customHeight="1">
      <c r="D140" s="91"/>
      <c r="F140" s="91"/>
    </row>
    <row r="141" spans="4:6" ht="15.75" customHeight="1">
      <c r="D141" s="91"/>
      <c r="F141" s="91"/>
    </row>
    <row r="142" spans="4:6" ht="15.75" customHeight="1">
      <c r="D142" s="91"/>
      <c r="F142" s="91"/>
    </row>
    <row r="143" spans="4:6" ht="15.75" customHeight="1">
      <c r="D143" s="91"/>
      <c r="F143" s="91"/>
    </row>
    <row r="144" spans="4:6" ht="15.75" customHeight="1">
      <c r="D144" s="91"/>
      <c r="F144" s="91"/>
    </row>
    <row r="145" spans="4:6" ht="15.75" customHeight="1">
      <c r="D145" s="91"/>
      <c r="F145" s="91"/>
    </row>
    <row r="146" spans="4:6" ht="15.75" customHeight="1">
      <c r="D146" s="91"/>
      <c r="F146" s="91"/>
    </row>
    <row r="147" spans="4:6" ht="15.75" customHeight="1">
      <c r="D147" s="91"/>
      <c r="F147" s="91"/>
    </row>
    <row r="148" spans="4:6" ht="15.75" customHeight="1">
      <c r="D148" s="91"/>
      <c r="F148" s="91"/>
    </row>
    <row r="149" spans="4:6" ht="15.75" customHeight="1">
      <c r="D149" s="91"/>
      <c r="F149" s="91"/>
    </row>
    <row r="150" spans="4:6" ht="15.75" customHeight="1">
      <c r="D150" s="91"/>
      <c r="F150" s="91"/>
    </row>
    <row r="151" spans="4:6" ht="15.75" customHeight="1">
      <c r="D151" s="91"/>
      <c r="F151" s="91"/>
    </row>
    <row r="152" spans="4:6" ht="15.75" customHeight="1">
      <c r="D152" s="91"/>
      <c r="F152" s="91"/>
    </row>
    <row r="153" spans="4:6" ht="15.75" customHeight="1">
      <c r="D153" s="91"/>
      <c r="F153" s="91"/>
    </row>
    <row r="154" spans="4:6" ht="15.75" customHeight="1">
      <c r="D154" s="91"/>
      <c r="F154" s="91"/>
    </row>
    <row r="155" spans="4:6" ht="15.75" customHeight="1">
      <c r="D155" s="91"/>
      <c r="F155" s="91"/>
    </row>
    <row r="156" spans="4:6" ht="15.75" customHeight="1">
      <c r="D156" s="91"/>
      <c r="F156" s="91"/>
    </row>
    <row r="157" spans="4:6" ht="15.75" customHeight="1">
      <c r="D157" s="91"/>
      <c r="F157" s="91"/>
    </row>
    <row r="158" spans="4:6" ht="15.75" customHeight="1">
      <c r="D158" s="91"/>
      <c r="F158" s="91"/>
    </row>
    <row r="159" spans="4:18" ht="15.75" customHeight="1">
      <c r="D159" s="91"/>
      <c r="F159" s="91"/>
      <c r="R159" s="31" t="s">
        <v>2</v>
      </c>
    </row>
    <row r="160" spans="4:19" ht="15.75" customHeight="1">
      <c r="D160" s="91"/>
      <c r="F160" s="91"/>
      <c r="R160" s="31" t="s">
        <v>2</v>
      </c>
      <c r="S160" s="31" t="s">
        <v>2</v>
      </c>
    </row>
    <row r="161" spans="4:6" ht="15.75" customHeight="1">
      <c r="D161" s="91"/>
      <c r="F161" s="91"/>
    </row>
    <row r="162" spans="4:19" ht="15.75" customHeight="1">
      <c r="D162" s="91"/>
      <c r="F162" s="91"/>
      <c r="R162" s="31" t="s">
        <v>2</v>
      </c>
      <c r="S162" s="31" t="s">
        <v>2</v>
      </c>
    </row>
    <row r="163" spans="4:6" ht="15.75" customHeight="1">
      <c r="D163" s="91"/>
      <c r="F163" s="91"/>
    </row>
    <row r="164" spans="4:6" ht="15.75" customHeight="1">
      <c r="D164" s="91"/>
      <c r="F164" s="91"/>
    </row>
    <row r="165" spans="4:19" ht="15.75" customHeight="1">
      <c r="D165" s="91"/>
      <c r="F165" s="91"/>
      <c r="R165" s="31" t="s">
        <v>2</v>
      </c>
      <c r="S165" s="31" t="s">
        <v>2</v>
      </c>
    </row>
    <row r="166" spans="4:19" ht="15.75" customHeight="1">
      <c r="D166" s="91"/>
      <c r="F166" s="91"/>
      <c r="R166" s="31" t="s">
        <v>2</v>
      </c>
      <c r="S166" s="31" t="s">
        <v>2</v>
      </c>
    </row>
    <row r="167" spans="4:19" ht="15.75" customHeight="1">
      <c r="D167" s="91"/>
      <c r="F167" s="91"/>
      <c r="R167" s="31" t="s">
        <v>2</v>
      </c>
      <c r="S167" s="31" t="s">
        <v>2</v>
      </c>
    </row>
    <row r="168" spans="4:19" ht="15.75" customHeight="1">
      <c r="D168" s="91"/>
      <c r="F168" s="91"/>
      <c r="R168" s="31" t="s">
        <v>2</v>
      </c>
      <c r="S168" s="31" t="s">
        <v>2</v>
      </c>
    </row>
    <row r="169" spans="4:18" ht="15.75" customHeight="1">
      <c r="D169" s="91"/>
      <c r="F169" s="91"/>
      <c r="R169" s="31" t="s">
        <v>2</v>
      </c>
    </row>
    <row r="170" spans="4:19" ht="15.75" customHeight="1">
      <c r="D170" s="91"/>
      <c r="F170" s="91"/>
      <c r="R170" s="31" t="s">
        <v>2</v>
      </c>
      <c r="S170" s="31" t="s">
        <v>2</v>
      </c>
    </row>
    <row r="171" spans="4:19" ht="15.75" customHeight="1">
      <c r="D171" s="91"/>
      <c r="F171" s="91"/>
      <c r="R171" s="31" t="s">
        <v>2</v>
      </c>
      <c r="S171" s="31" t="s">
        <v>2</v>
      </c>
    </row>
    <row r="172" spans="4:19" ht="15.75" customHeight="1">
      <c r="D172" s="91"/>
      <c r="F172" s="91"/>
      <c r="R172" s="31" t="s">
        <v>2</v>
      </c>
      <c r="S172" s="31" t="s">
        <v>2</v>
      </c>
    </row>
    <row r="173" spans="4:18" ht="15.75" customHeight="1">
      <c r="D173" s="91"/>
      <c r="F173" s="91"/>
      <c r="R173" s="31" t="s">
        <v>2</v>
      </c>
    </row>
    <row r="174" spans="4:19" ht="15.75" customHeight="1">
      <c r="D174" s="91"/>
      <c r="F174" s="91"/>
      <c r="R174" s="31" t="s">
        <v>2</v>
      </c>
      <c r="S174" s="31" t="s">
        <v>2</v>
      </c>
    </row>
    <row r="175" spans="4:6" ht="15.75" customHeight="1">
      <c r="D175" s="91"/>
      <c r="F175" s="91"/>
    </row>
    <row r="176" spans="4:6" ht="15.75" customHeight="1">
      <c r="D176" s="91"/>
      <c r="F176" s="91"/>
    </row>
    <row r="177" spans="4:6" ht="15.75" customHeight="1">
      <c r="D177" s="91"/>
      <c r="F177" s="91"/>
    </row>
    <row r="178" spans="4:6" ht="15.75" customHeight="1">
      <c r="D178" s="91"/>
      <c r="F178" s="91"/>
    </row>
    <row r="179" spans="4:6" ht="15.75" customHeight="1">
      <c r="D179" s="91"/>
      <c r="F179" s="91"/>
    </row>
    <row r="180" spans="4:6" ht="15.75" customHeight="1">
      <c r="D180" s="91"/>
      <c r="F180" s="91"/>
    </row>
    <row r="181" spans="4:6" ht="15.75" customHeight="1">
      <c r="D181" s="91"/>
      <c r="F181" s="91"/>
    </row>
    <row r="182" spans="4:6" ht="15.75" customHeight="1">
      <c r="D182" s="91"/>
      <c r="F182" s="91"/>
    </row>
    <row r="183" spans="4:6" ht="15.75" customHeight="1">
      <c r="D183" s="91"/>
      <c r="F183" s="91"/>
    </row>
    <row r="184" spans="4:6" ht="15.75" customHeight="1">
      <c r="D184" s="91"/>
      <c r="F184" s="91"/>
    </row>
    <row r="185" spans="4:6" ht="15.75" customHeight="1">
      <c r="D185" s="91"/>
      <c r="F185" s="91"/>
    </row>
    <row r="186" spans="4:6" ht="15.75" customHeight="1">
      <c r="D186" s="91"/>
      <c r="F186" s="91"/>
    </row>
    <row r="187" spans="4:6" ht="15.75" customHeight="1">
      <c r="D187" s="91"/>
      <c r="F187" s="91"/>
    </row>
    <row r="188" spans="4:6" ht="15.75" customHeight="1">
      <c r="D188" s="91"/>
      <c r="F188" s="91"/>
    </row>
    <row r="189" spans="4:6" ht="15.75" customHeight="1">
      <c r="D189" s="91"/>
      <c r="F189" s="91"/>
    </row>
    <row r="190" spans="4:6" ht="15.75" customHeight="1">
      <c r="D190" s="91"/>
      <c r="F190" s="91"/>
    </row>
    <row r="191" spans="4:6" ht="15.75" customHeight="1">
      <c r="D191" s="91"/>
      <c r="F191" s="91"/>
    </row>
    <row r="192" spans="4:6" ht="15.75" customHeight="1">
      <c r="D192" s="91"/>
      <c r="F192" s="91"/>
    </row>
    <row r="193" spans="4:6" ht="15.75" customHeight="1">
      <c r="D193" s="91"/>
      <c r="F193" s="91"/>
    </row>
    <row r="194" spans="4:6" ht="15.75" customHeight="1">
      <c r="D194" s="91"/>
      <c r="F194" s="91"/>
    </row>
    <row r="195" spans="4:6" ht="15.75" customHeight="1">
      <c r="D195" s="91"/>
      <c r="F195" s="91"/>
    </row>
    <row r="196" spans="4:6" ht="15.75" customHeight="1">
      <c r="D196" s="91"/>
      <c r="F196" s="91"/>
    </row>
    <row r="197" spans="4:6" ht="15.75" customHeight="1">
      <c r="D197" s="91"/>
      <c r="F197" s="91"/>
    </row>
    <row r="198" spans="4:6" ht="15.75" customHeight="1">
      <c r="D198" s="91"/>
      <c r="F198" s="91"/>
    </row>
    <row r="199" spans="4:6" ht="15.75" customHeight="1">
      <c r="D199" s="91"/>
      <c r="F199" s="91"/>
    </row>
    <row r="200" spans="4:6" ht="15.75" customHeight="1">
      <c r="D200" s="91"/>
      <c r="F200" s="91"/>
    </row>
    <row r="201" spans="4:6" ht="15.75" customHeight="1">
      <c r="D201" s="91"/>
      <c r="F201" s="91"/>
    </row>
    <row r="202" spans="4:6" ht="15.75" customHeight="1">
      <c r="D202" s="91"/>
      <c r="F202" s="91"/>
    </row>
    <row r="203" spans="4:6" ht="15.75" customHeight="1">
      <c r="D203" s="91"/>
      <c r="F203" s="91"/>
    </row>
    <row r="204" spans="4:6" ht="15.75" customHeight="1">
      <c r="D204" s="91"/>
      <c r="F204" s="91"/>
    </row>
    <row r="205" spans="4:6" ht="15.75" customHeight="1">
      <c r="D205" s="91"/>
      <c r="F205" s="91"/>
    </row>
    <row r="206" spans="4:6" ht="15.75" customHeight="1">
      <c r="D206" s="91"/>
      <c r="F206" s="91"/>
    </row>
    <row r="207" spans="4:6" ht="15.75" customHeight="1">
      <c r="D207" s="91"/>
      <c r="F207" s="91"/>
    </row>
    <row r="208" spans="4:6" ht="15.75" customHeight="1">
      <c r="D208" s="91"/>
      <c r="F208" s="91"/>
    </row>
    <row r="209" spans="4:6" ht="15.75" customHeight="1">
      <c r="D209" s="91"/>
      <c r="F209" s="91"/>
    </row>
    <row r="210" spans="4:6" ht="15.75" customHeight="1">
      <c r="D210" s="91"/>
      <c r="F210" s="91"/>
    </row>
    <row r="211" spans="4:6" ht="15.75" customHeight="1">
      <c r="D211" s="91"/>
      <c r="F211" s="91"/>
    </row>
    <row r="212" spans="4:6" ht="15.75" customHeight="1">
      <c r="D212" s="91"/>
      <c r="F212" s="91"/>
    </row>
    <row r="213" spans="4:6" ht="15.75" customHeight="1">
      <c r="D213" s="91"/>
      <c r="F213" s="91"/>
    </row>
    <row r="214" spans="4:6" ht="15.75" customHeight="1">
      <c r="D214" s="91"/>
      <c r="F214" s="91"/>
    </row>
    <row r="215" spans="4:6" ht="15.75" customHeight="1">
      <c r="D215" s="91"/>
      <c r="F215" s="91"/>
    </row>
    <row r="216" spans="4:6" ht="15.75" customHeight="1">
      <c r="D216" s="91"/>
      <c r="F216" s="91"/>
    </row>
    <row r="217" spans="4:6" ht="15.75" customHeight="1">
      <c r="D217" s="91"/>
      <c r="F217" s="91"/>
    </row>
    <row r="218" spans="4:6" ht="15.75" customHeight="1">
      <c r="D218" s="91"/>
      <c r="F218" s="91"/>
    </row>
    <row r="219" spans="4:6" ht="15.75" customHeight="1">
      <c r="D219" s="91"/>
      <c r="F219" s="91"/>
    </row>
    <row r="220" spans="4:6" ht="15.75" customHeight="1">
      <c r="D220" s="91"/>
      <c r="F220" s="91"/>
    </row>
    <row r="221" spans="4:6" ht="15.75" customHeight="1">
      <c r="D221" s="91"/>
      <c r="F221" s="91"/>
    </row>
    <row r="222" spans="4:6" ht="15.75" customHeight="1">
      <c r="D222" s="91"/>
      <c r="F222" s="91"/>
    </row>
    <row r="223" spans="4:6" ht="15.75" customHeight="1">
      <c r="D223" s="91"/>
      <c r="F223" s="91"/>
    </row>
    <row r="224" spans="4:6" ht="15.75" customHeight="1">
      <c r="D224" s="91"/>
      <c r="F224" s="91"/>
    </row>
    <row r="225" spans="4:6" ht="15.75" customHeight="1">
      <c r="D225" s="91"/>
      <c r="F225" s="91"/>
    </row>
    <row r="226" spans="4:6" ht="15.75" customHeight="1">
      <c r="D226" s="91"/>
      <c r="F226" s="91"/>
    </row>
    <row r="227" spans="4:6" ht="15.75" customHeight="1">
      <c r="D227" s="91"/>
      <c r="F227" s="91"/>
    </row>
    <row r="228" spans="4:6" ht="15.75" customHeight="1">
      <c r="D228" s="91"/>
      <c r="F228" s="91"/>
    </row>
    <row r="229" spans="4:6" ht="15.75" customHeight="1">
      <c r="D229" s="91"/>
      <c r="F229" s="91"/>
    </row>
    <row r="230" spans="4:6" ht="15.75" customHeight="1">
      <c r="D230" s="91"/>
      <c r="F230" s="91"/>
    </row>
    <row r="231" spans="4:6" ht="15.75" customHeight="1">
      <c r="D231" s="91"/>
      <c r="F231" s="91"/>
    </row>
    <row r="232" spans="4:6" ht="15.75" customHeight="1">
      <c r="D232" s="91"/>
      <c r="F232" s="91"/>
    </row>
    <row r="233" spans="4:6" ht="15.75" customHeight="1">
      <c r="D233" s="91"/>
      <c r="F233" s="91"/>
    </row>
    <row r="234" spans="4:6" ht="15.75" customHeight="1">
      <c r="D234" s="91"/>
      <c r="F234" s="91"/>
    </row>
    <row r="235" spans="4:6" ht="15.75" customHeight="1">
      <c r="D235" s="91"/>
      <c r="F235" s="91"/>
    </row>
    <row r="236" spans="4:6" ht="15.75" customHeight="1">
      <c r="D236" s="91"/>
      <c r="F236" s="91"/>
    </row>
    <row r="237" spans="4:6" ht="15.75" customHeight="1">
      <c r="D237" s="91"/>
      <c r="F237" s="91"/>
    </row>
    <row r="238" spans="4:6" ht="15.75" customHeight="1">
      <c r="D238" s="91"/>
      <c r="F238" s="91"/>
    </row>
    <row r="239" spans="4:6" ht="15.75" customHeight="1">
      <c r="D239" s="91"/>
      <c r="F239" s="91"/>
    </row>
    <row r="240" spans="4:6" ht="15.75" customHeight="1">
      <c r="D240" s="91"/>
      <c r="F240" s="91"/>
    </row>
    <row r="241" spans="4:6" ht="15.75" customHeight="1">
      <c r="D241" s="91"/>
      <c r="F241" s="91"/>
    </row>
    <row r="242" spans="4:6" ht="15.75" customHeight="1">
      <c r="D242" s="91"/>
      <c r="F242" s="91"/>
    </row>
    <row r="243" spans="4:6" ht="15.75" customHeight="1">
      <c r="D243" s="91"/>
      <c r="F243" s="91"/>
    </row>
    <row r="244" spans="4:6" ht="15.75" customHeight="1">
      <c r="D244" s="91"/>
      <c r="F244" s="91"/>
    </row>
    <row r="245" spans="4:6" ht="15.75" customHeight="1">
      <c r="D245" s="91"/>
      <c r="F245" s="91"/>
    </row>
    <row r="246" spans="4:6" ht="15.75" customHeight="1">
      <c r="D246" s="91"/>
      <c r="F246" s="91"/>
    </row>
    <row r="247" spans="4:6" ht="15.75" customHeight="1">
      <c r="D247" s="91"/>
      <c r="F247" s="91"/>
    </row>
    <row r="248" spans="4:6" ht="15.75" customHeight="1">
      <c r="D248" s="91"/>
      <c r="F248" s="91"/>
    </row>
    <row r="249" spans="4:6" ht="15.75" customHeight="1">
      <c r="D249" s="91"/>
      <c r="F249" s="91"/>
    </row>
    <row r="250" spans="4:6" ht="15.75" customHeight="1">
      <c r="D250" s="91"/>
      <c r="F250" s="91"/>
    </row>
    <row r="251" spans="4:6" ht="15.75" customHeight="1">
      <c r="D251" s="91"/>
      <c r="F251" s="91"/>
    </row>
    <row r="252" spans="4:6" ht="15.75" customHeight="1">
      <c r="D252" s="91"/>
      <c r="F252" s="91"/>
    </row>
    <row r="253" spans="4:6" ht="15.75" customHeight="1">
      <c r="D253" s="91"/>
      <c r="F253" s="91"/>
    </row>
    <row r="254" spans="4:6" ht="15.75" customHeight="1">
      <c r="D254" s="91"/>
      <c r="F254" s="91"/>
    </row>
    <row r="255" spans="4:6" ht="15.75" customHeight="1">
      <c r="D255" s="91"/>
      <c r="F255" s="91"/>
    </row>
    <row r="256" spans="4:6" ht="15.75" customHeight="1">
      <c r="D256" s="91"/>
      <c r="F256" s="91"/>
    </row>
    <row r="257" spans="4:6" ht="15.75" customHeight="1">
      <c r="D257" s="91"/>
      <c r="F257" s="91"/>
    </row>
    <row r="258" spans="4:6" ht="15.75" customHeight="1">
      <c r="D258" s="91"/>
      <c r="F258" s="91"/>
    </row>
    <row r="259" spans="4:6" ht="15.75" customHeight="1">
      <c r="D259" s="91"/>
      <c r="F259" s="91"/>
    </row>
    <row r="260" spans="4:6" ht="15.75" customHeight="1">
      <c r="D260" s="91"/>
      <c r="F260" s="91"/>
    </row>
    <row r="261" spans="4:6" ht="15.75" customHeight="1">
      <c r="D261" s="91"/>
      <c r="F261" s="91"/>
    </row>
    <row r="262" spans="4:6" ht="15.75" customHeight="1">
      <c r="D262" s="91"/>
      <c r="F262" s="91"/>
    </row>
    <row r="263" spans="4:6" ht="15.75" customHeight="1">
      <c r="D263" s="91"/>
      <c r="F263" s="91"/>
    </row>
    <row r="264" spans="4:6" ht="15.75" customHeight="1">
      <c r="D264" s="91"/>
      <c r="F264" s="91"/>
    </row>
    <row r="265" spans="4:6" ht="15.75" customHeight="1">
      <c r="D265" s="91"/>
      <c r="F265" s="91"/>
    </row>
    <row r="266" spans="4:6" ht="15.75" customHeight="1">
      <c r="D266" s="91"/>
      <c r="F266" s="91"/>
    </row>
    <row r="267" spans="4:6" ht="15.75" customHeight="1">
      <c r="D267" s="91"/>
      <c r="F267" s="91"/>
    </row>
    <row r="268" spans="4:6" ht="15.75" customHeight="1">
      <c r="D268" s="91"/>
      <c r="F268" s="91"/>
    </row>
    <row r="269" spans="4:6" ht="15.75" customHeight="1">
      <c r="D269" s="91"/>
      <c r="F269" s="91"/>
    </row>
    <row r="270" spans="4:6" ht="15.75" customHeight="1">
      <c r="D270" s="91"/>
      <c r="F270" s="91"/>
    </row>
    <row r="271" spans="4:6" ht="15.75" customHeight="1">
      <c r="D271" s="91"/>
      <c r="F271" s="91"/>
    </row>
    <row r="272" spans="4:6" ht="15.75" customHeight="1">
      <c r="D272" s="91"/>
      <c r="F272" s="91"/>
    </row>
    <row r="273" spans="4:6" ht="15.75" customHeight="1">
      <c r="D273" s="91"/>
      <c r="F273" s="91"/>
    </row>
    <row r="274" spans="4:6" ht="15.75" customHeight="1">
      <c r="D274" s="91"/>
      <c r="F274" s="91"/>
    </row>
    <row r="275" spans="4:6" ht="15.75" customHeight="1">
      <c r="D275" s="91"/>
      <c r="F275" s="91"/>
    </row>
    <row r="276" spans="4:6" ht="15.75" customHeight="1">
      <c r="D276" s="91"/>
      <c r="F276" s="91"/>
    </row>
    <row r="277" spans="4:6" ht="15.75" customHeight="1">
      <c r="D277" s="91"/>
      <c r="F277" s="91"/>
    </row>
    <row r="278" spans="4:6" ht="15.75" customHeight="1">
      <c r="D278" s="91"/>
      <c r="F278" s="91"/>
    </row>
    <row r="279" spans="4:6" ht="15.75" customHeight="1">
      <c r="D279" s="91"/>
      <c r="F279" s="91"/>
    </row>
    <row r="280" spans="4:6" ht="15.75" customHeight="1">
      <c r="D280" s="91"/>
      <c r="F280" s="91"/>
    </row>
    <row r="281" spans="4:6" ht="15.75" customHeight="1">
      <c r="D281" s="91"/>
      <c r="F281" s="91"/>
    </row>
    <row r="282" spans="4:6" ht="15.75" customHeight="1">
      <c r="D282" s="91"/>
      <c r="F282" s="91"/>
    </row>
    <row r="283" spans="4:6" ht="15.75" customHeight="1">
      <c r="D283" s="91"/>
      <c r="F283" s="91"/>
    </row>
    <row r="284" spans="4:6" ht="15.75" customHeight="1">
      <c r="D284" s="91"/>
      <c r="F284" s="91"/>
    </row>
    <row r="285" spans="4:6" ht="15.75" customHeight="1">
      <c r="D285" s="91"/>
      <c r="F285" s="91"/>
    </row>
    <row r="286" spans="4:6" ht="15.75" customHeight="1">
      <c r="D286" s="91"/>
      <c r="F286" s="91"/>
    </row>
    <row r="287" spans="4:6" ht="15.75" customHeight="1">
      <c r="D287" s="91"/>
      <c r="F287" s="91"/>
    </row>
    <row r="288" spans="4:6" ht="15.75" customHeight="1">
      <c r="D288" s="91"/>
      <c r="F288" s="91"/>
    </row>
    <row r="289" spans="4:6" ht="15.75" customHeight="1">
      <c r="D289" s="91"/>
      <c r="F289" s="91"/>
    </row>
    <row r="290" spans="4:6" ht="15.75" customHeight="1">
      <c r="D290" s="91"/>
      <c r="F290" s="91"/>
    </row>
    <row r="291" spans="4:6" ht="15.75" customHeight="1">
      <c r="D291" s="91"/>
      <c r="F291" s="91"/>
    </row>
    <row r="292" spans="4:6" ht="15.75" customHeight="1">
      <c r="D292" s="91"/>
      <c r="F292" s="91"/>
    </row>
    <row r="293" spans="4:6" ht="15.75" customHeight="1">
      <c r="D293" s="91"/>
      <c r="F293" s="91"/>
    </row>
    <row r="294" spans="4:6" ht="15.75" customHeight="1">
      <c r="D294" s="91"/>
      <c r="F294" s="91"/>
    </row>
    <row r="295" spans="4:6" ht="15.75" customHeight="1">
      <c r="D295" s="91"/>
      <c r="F295" s="91"/>
    </row>
    <row r="296" spans="4:6" ht="15.75" customHeight="1">
      <c r="D296" s="91"/>
      <c r="F296" s="91"/>
    </row>
    <row r="297" spans="4:6" ht="15.75" customHeight="1">
      <c r="D297" s="91"/>
      <c r="F297" s="91"/>
    </row>
    <row r="298" spans="4:6" ht="15.75" customHeight="1">
      <c r="D298" s="91"/>
      <c r="F298" s="91"/>
    </row>
    <row r="299" spans="4:6" ht="15.75" customHeight="1">
      <c r="D299" s="91"/>
      <c r="F299" s="91"/>
    </row>
    <row r="300" spans="4:6" ht="15.75" customHeight="1">
      <c r="D300" s="91"/>
      <c r="F300" s="91"/>
    </row>
    <row r="301" spans="4:6" ht="15.75" customHeight="1">
      <c r="D301" s="91"/>
      <c r="F301" s="91"/>
    </row>
    <row r="302" spans="4:6" ht="15.75" customHeight="1">
      <c r="D302" s="91"/>
      <c r="F302" s="91"/>
    </row>
    <row r="303" spans="4:6" ht="15.75" customHeight="1">
      <c r="D303" s="91"/>
      <c r="F303" s="91"/>
    </row>
    <row r="304" spans="4:6" ht="15.75" customHeight="1">
      <c r="D304" s="91"/>
      <c r="F304" s="91"/>
    </row>
    <row r="305" spans="4:6" ht="15.75" customHeight="1">
      <c r="D305" s="91"/>
      <c r="F305" s="91"/>
    </row>
    <row r="306" spans="4:6" ht="15.75" customHeight="1">
      <c r="D306" s="91"/>
      <c r="F306" s="91"/>
    </row>
    <row r="307" spans="4:6" ht="15.75" customHeight="1">
      <c r="D307" s="91"/>
      <c r="F307" s="91"/>
    </row>
    <row r="308" spans="4:6" ht="15.75" customHeight="1">
      <c r="D308" s="91"/>
      <c r="F308" s="91"/>
    </row>
    <row r="309" spans="4:6" ht="15.75" customHeight="1">
      <c r="D309" s="91"/>
      <c r="F309" s="91"/>
    </row>
    <row r="310" spans="4:6" ht="15.75" customHeight="1">
      <c r="D310" s="91"/>
      <c r="F310" s="91"/>
    </row>
    <row r="311" spans="4:6" ht="15.75" customHeight="1">
      <c r="D311" s="91"/>
      <c r="F311" s="91"/>
    </row>
    <row r="312" spans="4:6" ht="15.75" customHeight="1">
      <c r="D312" s="91"/>
      <c r="F312" s="91"/>
    </row>
    <row r="313" spans="4:6" ht="15.75" customHeight="1">
      <c r="D313" s="91"/>
      <c r="F313" s="91"/>
    </row>
    <row r="314" spans="4:6" ht="15.75" customHeight="1">
      <c r="D314" s="91"/>
      <c r="F314" s="91"/>
    </row>
    <row r="315" spans="4:6" ht="15.75" customHeight="1">
      <c r="D315" s="91"/>
      <c r="F315" s="91"/>
    </row>
    <row r="316" spans="4:6" ht="15.75" customHeight="1">
      <c r="D316" s="91"/>
      <c r="F316" s="91"/>
    </row>
    <row r="317" spans="4:6" ht="15.75" customHeight="1">
      <c r="D317" s="91"/>
      <c r="F317" s="91"/>
    </row>
    <row r="318" spans="4:6" ht="15.75" customHeight="1">
      <c r="D318" s="91"/>
      <c r="F318" s="91"/>
    </row>
    <row r="319" spans="4:6" ht="15.75" customHeight="1">
      <c r="D319" s="91"/>
      <c r="F319" s="91"/>
    </row>
    <row r="320" spans="4:6" ht="15.75" customHeight="1">
      <c r="D320" s="91"/>
      <c r="F320" s="91"/>
    </row>
    <row r="321" spans="4:6" ht="15.75" customHeight="1">
      <c r="D321" s="91"/>
      <c r="F321" s="91"/>
    </row>
    <row r="322" spans="4:6" ht="15.75" customHeight="1">
      <c r="D322" s="91"/>
      <c r="F322" s="91"/>
    </row>
    <row r="323" spans="4:6" ht="15.75" customHeight="1">
      <c r="D323" s="91"/>
      <c r="F323" s="91"/>
    </row>
    <row r="324" spans="4:6" ht="15.75" customHeight="1">
      <c r="D324" s="91"/>
      <c r="F324" s="91"/>
    </row>
    <row r="325" spans="4:6" ht="15.75" customHeight="1">
      <c r="D325" s="91"/>
      <c r="F325" s="91"/>
    </row>
    <row r="326" spans="4:6" ht="15.75" customHeight="1">
      <c r="D326" s="91"/>
      <c r="F326" s="91"/>
    </row>
    <row r="327" spans="4:6" ht="15.75" customHeight="1">
      <c r="D327" s="91"/>
      <c r="F327" s="91"/>
    </row>
    <row r="328" spans="4:6" ht="15.75" customHeight="1">
      <c r="D328" s="91"/>
      <c r="F328" s="91"/>
    </row>
    <row r="329" spans="4:6" ht="15.75" customHeight="1">
      <c r="D329" s="91"/>
      <c r="F329" s="91"/>
    </row>
    <row r="330" spans="4:6" ht="15.75" customHeight="1">
      <c r="D330" s="91"/>
      <c r="F330" s="91"/>
    </row>
    <row r="331" spans="4:6" ht="15.75" customHeight="1">
      <c r="D331" s="91"/>
      <c r="F331" s="91"/>
    </row>
    <row r="332" spans="4:6" ht="15.75" customHeight="1">
      <c r="D332" s="91"/>
      <c r="F332" s="91"/>
    </row>
    <row r="333" spans="4:6" ht="15.75" customHeight="1">
      <c r="D333" s="91"/>
      <c r="F333" s="91"/>
    </row>
    <row r="334" spans="4:6" ht="15.75" customHeight="1">
      <c r="D334" s="91"/>
      <c r="F334" s="91"/>
    </row>
    <row r="335" spans="4:6" ht="15.75" customHeight="1">
      <c r="D335" s="91"/>
      <c r="F335" s="91"/>
    </row>
    <row r="336" spans="4:6" ht="15.75" customHeight="1">
      <c r="D336" s="91"/>
      <c r="F336" s="91"/>
    </row>
    <row r="337" spans="4:6" ht="15.75" customHeight="1">
      <c r="D337" s="91"/>
      <c r="F337" s="91"/>
    </row>
    <row r="338" spans="4:6" ht="15.75" customHeight="1">
      <c r="D338" s="91"/>
      <c r="F338" s="91"/>
    </row>
    <row r="339" spans="4:6" ht="15.75" customHeight="1">
      <c r="D339" s="91"/>
      <c r="F339" s="91"/>
    </row>
    <row r="340" spans="4:6" ht="15.75" customHeight="1">
      <c r="D340" s="91"/>
      <c r="F340" s="91"/>
    </row>
    <row r="341" spans="4:6" ht="15.75" customHeight="1">
      <c r="D341" s="91"/>
      <c r="F341" s="91"/>
    </row>
    <row r="342" spans="4:6" ht="15.75" customHeight="1">
      <c r="D342" s="91"/>
      <c r="F342" s="91"/>
    </row>
    <row r="343" spans="4:6" ht="15.75" customHeight="1">
      <c r="D343" s="91"/>
      <c r="F343" s="91"/>
    </row>
    <row r="344" spans="4:6" ht="15.75" customHeight="1">
      <c r="D344" s="91"/>
      <c r="F344" s="91"/>
    </row>
    <row r="345" spans="4:6" ht="15.75" customHeight="1">
      <c r="D345" s="91"/>
      <c r="F345" s="91"/>
    </row>
    <row r="346" spans="4:6" ht="15.75" customHeight="1">
      <c r="D346" s="91"/>
      <c r="F346" s="91"/>
    </row>
    <row r="347" spans="4:6" ht="15.75" customHeight="1">
      <c r="D347" s="91"/>
      <c r="F347" s="91"/>
    </row>
    <row r="348" spans="4:6" ht="15.75" customHeight="1">
      <c r="D348" s="91"/>
      <c r="F348" s="91"/>
    </row>
    <row r="349" spans="4:6" ht="15.75" customHeight="1">
      <c r="D349" s="91"/>
      <c r="F349" s="91"/>
    </row>
    <row r="350" spans="4:6" ht="15.75" customHeight="1">
      <c r="D350" s="91"/>
      <c r="F350" s="91"/>
    </row>
    <row r="351" spans="4:6" ht="15.75" customHeight="1">
      <c r="D351" s="91"/>
      <c r="F351" s="91"/>
    </row>
    <row r="352" spans="4:6" ht="15.75" customHeight="1">
      <c r="D352" s="91"/>
      <c r="F352" s="91"/>
    </row>
    <row r="353" spans="4:6" ht="15.75" customHeight="1">
      <c r="D353" s="91"/>
      <c r="F353" s="91"/>
    </row>
    <row r="354" spans="4:6" ht="15.75" customHeight="1">
      <c r="D354" s="91"/>
      <c r="F354" s="91"/>
    </row>
    <row r="355" spans="4:6" ht="15.75" customHeight="1">
      <c r="D355" s="91"/>
      <c r="F355" s="91"/>
    </row>
    <row r="356" spans="4:6" ht="15.75" customHeight="1">
      <c r="D356" s="91"/>
      <c r="F356" s="91"/>
    </row>
    <row r="357" spans="4:6" ht="15.75" customHeight="1">
      <c r="D357" s="91"/>
      <c r="F357" s="91"/>
    </row>
    <row r="358" spans="4:6" ht="15.75" customHeight="1">
      <c r="D358" s="91"/>
      <c r="F358" s="91"/>
    </row>
    <row r="359" spans="4:6" ht="15.75" customHeight="1">
      <c r="D359" s="91"/>
      <c r="F359" s="91"/>
    </row>
    <row r="360" spans="4:6" ht="15.75" customHeight="1">
      <c r="D360" s="91"/>
      <c r="F360" s="91"/>
    </row>
    <row r="361" spans="4:6" ht="15.75" customHeight="1">
      <c r="D361" s="91"/>
      <c r="F361" s="91"/>
    </row>
    <row r="362" spans="4:6" ht="15.75" customHeight="1">
      <c r="D362" s="91"/>
      <c r="F362" s="91"/>
    </row>
    <row r="363" spans="4:6" ht="15.75" customHeight="1">
      <c r="D363" s="91"/>
      <c r="F363" s="91"/>
    </row>
    <row r="364" spans="4:6" ht="15.75" customHeight="1">
      <c r="D364" s="91"/>
      <c r="F364" s="91"/>
    </row>
    <row r="365" spans="4:6" ht="15.75" customHeight="1">
      <c r="D365" s="91"/>
      <c r="F365" s="91"/>
    </row>
    <row r="366" spans="4:6" ht="15.75" customHeight="1">
      <c r="D366" s="91"/>
      <c r="F366" s="91"/>
    </row>
    <row r="367" spans="4:6" ht="15.75" customHeight="1">
      <c r="D367" s="91"/>
      <c r="F367" s="91"/>
    </row>
    <row r="368" spans="4:6" ht="15.75" customHeight="1">
      <c r="D368" s="91"/>
      <c r="F368" s="91"/>
    </row>
    <row r="369" spans="4:6" ht="15.75" customHeight="1">
      <c r="D369" s="91"/>
      <c r="F369" s="91"/>
    </row>
    <row r="370" spans="4:6" ht="15.75" customHeight="1">
      <c r="D370" s="91"/>
      <c r="F370" s="91"/>
    </row>
    <row r="371" spans="4:6" ht="15.75" customHeight="1">
      <c r="D371" s="91"/>
      <c r="F371" s="91"/>
    </row>
    <row r="372" spans="4:6" ht="15.75" customHeight="1">
      <c r="D372" s="91"/>
      <c r="F372" s="91"/>
    </row>
    <row r="373" spans="4:6" ht="15.75" customHeight="1">
      <c r="D373" s="91"/>
      <c r="F373" s="91"/>
    </row>
    <row r="374" spans="4:6" ht="15.75" customHeight="1">
      <c r="D374" s="91"/>
      <c r="F374" s="91"/>
    </row>
    <row r="375" spans="4:6" ht="15.75" customHeight="1">
      <c r="D375" s="91"/>
      <c r="F375" s="91"/>
    </row>
    <row r="376" spans="4:6" ht="15.75" customHeight="1">
      <c r="D376" s="91"/>
      <c r="F376" s="91"/>
    </row>
    <row r="377" spans="4:6" ht="15.75" customHeight="1">
      <c r="D377" s="91"/>
      <c r="F377" s="91"/>
    </row>
    <row r="378" spans="4:6" ht="15.75" customHeight="1">
      <c r="D378" s="91"/>
      <c r="F378" s="91"/>
    </row>
    <row r="379" spans="4:6" ht="15.75" customHeight="1">
      <c r="D379" s="91"/>
      <c r="F379" s="91"/>
    </row>
    <row r="380" spans="4:6" ht="15.75" customHeight="1">
      <c r="D380" s="91"/>
      <c r="F380" s="91"/>
    </row>
    <row r="381" spans="4:6" ht="15.75" customHeight="1">
      <c r="D381" s="91"/>
      <c r="F381" s="91"/>
    </row>
    <row r="382" spans="4:6" ht="15.75" customHeight="1">
      <c r="D382" s="91"/>
      <c r="F382" s="91"/>
    </row>
    <row r="383" spans="4:6" ht="15.75" customHeight="1">
      <c r="D383" s="91"/>
      <c r="F383" s="91"/>
    </row>
    <row r="384" spans="4:6" ht="15.75" customHeight="1">
      <c r="D384" s="91"/>
      <c r="F384" s="91"/>
    </row>
    <row r="385" spans="4:6" ht="15.75" customHeight="1">
      <c r="D385" s="91"/>
      <c r="F385" s="91"/>
    </row>
    <row r="386" spans="4:6" ht="15.75" customHeight="1">
      <c r="D386" s="91"/>
      <c r="F386" s="91"/>
    </row>
    <row r="387" spans="4:6" ht="15.75" customHeight="1">
      <c r="D387" s="91"/>
      <c r="F387" s="91"/>
    </row>
    <row r="388" spans="4:6" ht="15.75" customHeight="1">
      <c r="D388" s="91"/>
      <c r="F388" s="91"/>
    </row>
    <row r="389" spans="4:6" ht="15.75" customHeight="1">
      <c r="D389" s="91"/>
      <c r="F389" s="91"/>
    </row>
    <row r="390" spans="4:6" ht="15.75" customHeight="1">
      <c r="D390" s="91"/>
      <c r="F390" s="91"/>
    </row>
    <row r="391" spans="4:6" ht="15.75" customHeight="1">
      <c r="D391" s="91"/>
      <c r="F391" s="91"/>
    </row>
    <row r="392" spans="4:6" ht="15.75" customHeight="1">
      <c r="D392" s="91"/>
      <c r="F392" s="91"/>
    </row>
    <row r="393" spans="4:6" ht="15.75" customHeight="1">
      <c r="D393" s="91"/>
      <c r="F393" s="91"/>
    </row>
    <row r="394" spans="4:6" ht="15.75" customHeight="1">
      <c r="D394" s="91"/>
      <c r="F394" s="91"/>
    </row>
    <row r="395" spans="4:6" ht="15.75" customHeight="1">
      <c r="D395" s="91"/>
      <c r="F395" s="91"/>
    </row>
    <row r="396" spans="4:6" ht="15.75" customHeight="1">
      <c r="D396" s="91"/>
      <c r="F396" s="91"/>
    </row>
    <row r="397" spans="4:6" ht="15.75" customHeight="1">
      <c r="D397" s="91"/>
      <c r="F397" s="91"/>
    </row>
    <row r="398" spans="4:6" ht="15.75" customHeight="1">
      <c r="D398" s="91"/>
      <c r="F398" s="91"/>
    </row>
    <row r="399" spans="4:6" ht="15.75" customHeight="1">
      <c r="D399" s="91"/>
      <c r="F399" s="91"/>
    </row>
    <row r="400" spans="4:6" ht="15.75" customHeight="1">
      <c r="D400" s="91"/>
      <c r="F400" s="91"/>
    </row>
    <row r="401" spans="4:6" ht="15.75" customHeight="1">
      <c r="D401" s="91"/>
      <c r="F401" s="91"/>
    </row>
    <row r="402" spans="4:6" ht="15.75" customHeight="1">
      <c r="D402" s="91"/>
      <c r="F402" s="91"/>
    </row>
    <row r="403" spans="4:6" ht="15.75" customHeight="1">
      <c r="D403" s="91"/>
      <c r="F403" s="91"/>
    </row>
    <row r="404" spans="4:6" ht="15.75" customHeight="1">
      <c r="D404" s="91"/>
      <c r="F404" s="91"/>
    </row>
    <row r="405" spans="4:6" ht="15.75" customHeight="1">
      <c r="D405" s="91"/>
      <c r="F405" s="91"/>
    </row>
    <row r="406" spans="4:6" ht="15.75" customHeight="1">
      <c r="D406" s="91"/>
      <c r="F406" s="91"/>
    </row>
    <row r="407" spans="4:6" ht="15.75" customHeight="1">
      <c r="D407" s="91"/>
      <c r="F407" s="91"/>
    </row>
    <row r="408" spans="4:6" ht="15.75" customHeight="1">
      <c r="D408" s="91"/>
      <c r="F408" s="91"/>
    </row>
    <row r="409" spans="4:6" ht="15.75" customHeight="1">
      <c r="D409" s="91"/>
      <c r="F409" s="91"/>
    </row>
    <row r="410" spans="4:6" ht="15.75" customHeight="1">
      <c r="D410" s="91"/>
      <c r="F410" s="91"/>
    </row>
    <row r="411" spans="4:6" ht="15.75" customHeight="1">
      <c r="D411" s="91"/>
      <c r="F411" s="91"/>
    </row>
    <row r="412" spans="4:6" ht="15.75" customHeight="1">
      <c r="D412" s="91"/>
      <c r="F412" s="91"/>
    </row>
    <row r="413" spans="4:6" ht="15.75" customHeight="1">
      <c r="D413" s="91"/>
      <c r="F413" s="91"/>
    </row>
    <row r="414" spans="4:6" ht="15.75" customHeight="1">
      <c r="D414" s="91"/>
      <c r="F414" s="91"/>
    </row>
    <row r="415" spans="4:6" ht="15.75" customHeight="1">
      <c r="D415" s="91"/>
      <c r="F415" s="91"/>
    </row>
    <row r="416" spans="4:6" ht="15.75" customHeight="1">
      <c r="D416" s="91"/>
      <c r="F416" s="91"/>
    </row>
    <row r="417" spans="4:6" ht="15.75" customHeight="1">
      <c r="D417" s="91"/>
      <c r="F417" s="91"/>
    </row>
    <row r="418" spans="4:6" ht="15.75" customHeight="1">
      <c r="D418" s="91"/>
      <c r="F418" s="91"/>
    </row>
    <row r="419" spans="4:6" ht="15.75" customHeight="1">
      <c r="D419" s="91"/>
      <c r="F419" s="91"/>
    </row>
    <row r="420" spans="4:6" ht="15.75" customHeight="1">
      <c r="D420" s="91"/>
      <c r="F420" s="91"/>
    </row>
    <row r="421" spans="4:6" ht="15.75" customHeight="1">
      <c r="D421" s="91"/>
      <c r="F421" s="91"/>
    </row>
    <row r="422" spans="4:6" ht="15.75" customHeight="1">
      <c r="D422" s="91"/>
      <c r="F422" s="91"/>
    </row>
    <row r="423" spans="4:6" ht="15.75" customHeight="1">
      <c r="D423" s="91"/>
      <c r="F423" s="91"/>
    </row>
    <row r="424" spans="4:6" ht="15.75" customHeight="1">
      <c r="D424" s="91"/>
      <c r="F424" s="91"/>
    </row>
    <row r="425" spans="4:6" ht="15.75" customHeight="1">
      <c r="D425" s="91"/>
      <c r="F425" s="91"/>
    </row>
    <row r="426" spans="4:6" ht="15.75" customHeight="1">
      <c r="D426" s="91"/>
      <c r="F426" s="91"/>
    </row>
    <row r="427" spans="4:6" ht="15.75" customHeight="1">
      <c r="D427" s="91"/>
      <c r="F427" s="91"/>
    </row>
    <row r="428" spans="4:6" ht="15.75" customHeight="1">
      <c r="D428" s="91"/>
      <c r="F428" s="91"/>
    </row>
    <row r="429" spans="4:6" ht="15.75" customHeight="1">
      <c r="D429" s="91"/>
      <c r="F429" s="91"/>
    </row>
    <row r="430" spans="4:6" ht="15.75" customHeight="1">
      <c r="D430" s="91"/>
      <c r="F430" s="91"/>
    </row>
    <row r="431" spans="4:6" ht="15.75" customHeight="1">
      <c r="D431" s="91"/>
      <c r="F431" s="91"/>
    </row>
    <row r="432" spans="4:6" ht="15.75" customHeight="1">
      <c r="D432" s="91"/>
      <c r="F432" s="91"/>
    </row>
    <row r="433" spans="4:6" ht="15.75" customHeight="1">
      <c r="D433" s="91"/>
      <c r="F433" s="91"/>
    </row>
    <row r="434" spans="4:6" ht="15.75" customHeight="1">
      <c r="D434" s="91"/>
      <c r="F434" s="91"/>
    </row>
    <row r="435" spans="4:6" ht="15.75" customHeight="1">
      <c r="D435" s="91"/>
      <c r="F435" s="91"/>
    </row>
    <row r="436" spans="4:6" ht="15.75" customHeight="1">
      <c r="D436" s="91"/>
      <c r="F436" s="91"/>
    </row>
    <row r="437" spans="4:6" ht="15.75" customHeight="1">
      <c r="D437" s="91"/>
      <c r="F437" s="91"/>
    </row>
    <row r="438" spans="4:6" ht="15.75" customHeight="1">
      <c r="D438" s="91"/>
      <c r="F438" s="91"/>
    </row>
    <row r="439" spans="4:6" ht="15.75" customHeight="1">
      <c r="D439" s="91"/>
      <c r="F439" s="91"/>
    </row>
    <row r="440" spans="4:6" ht="15.75" customHeight="1">
      <c r="D440" s="91"/>
      <c r="F440" s="91"/>
    </row>
    <row r="441" spans="4:6" ht="15.75" customHeight="1">
      <c r="D441" s="91"/>
      <c r="F441" s="91"/>
    </row>
    <row r="442" spans="4:6" ht="15.75" customHeight="1">
      <c r="D442" s="91"/>
      <c r="F442" s="91"/>
    </row>
    <row r="443" spans="4:6" ht="15.75" customHeight="1">
      <c r="D443" s="91"/>
      <c r="F443" s="91"/>
    </row>
    <row r="444" spans="4:6" ht="15.75" customHeight="1">
      <c r="D444" s="91"/>
      <c r="F444" s="91"/>
    </row>
    <row r="445" spans="4:6" ht="15.75" customHeight="1">
      <c r="D445" s="91"/>
      <c r="F445" s="91"/>
    </row>
    <row r="446" spans="4:6" ht="15.75" customHeight="1">
      <c r="D446" s="91"/>
      <c r="F446" s="91"/>
    </row>
    <row r="447" spans="4:6" ht="15.75" customHeight="1">
      <c r="D447" s="91"/>
      <c r="F447" s="91"/>
    </row>
    <row r="448" spans="4:6" ht="15.75" customHeight="1">
      <c r="D448" s="91"/>
      <c r="F448" s="91"/>
    </row>
    <row r="449" spans="4:6" ht="15.75" customHeight="1">
      <c r="D449" s="91"/>
      <c r="F449" s="91"/>
    </row>
    <row r="450" spans="4:6" ht="15.75" customHeight="1">
      <c r="D450" s="91"/>
      <c r="F450" s="91"/>
    </row>
    <row r="451" spans="4:6" ht="15.75" customHeight="1">
      <c r="D451" s="91"/>
      <c r="F451" s="91"/>
    </row>
    <row r="452" spans="4:6" ht="15.75" customHeight="1">
      <c r="D452" s="91"/>
      <c r="F452" s="91"/>
    </row>
    <row r="453" spans="4:6" ht="15.75" customHeight="1">
      <c r="D453" s="91"/>
      <c r="F453" s="91"/>
    </row>
    <row r="454" spans="4:6" ht="15.75" customHeight="1">
      <c r="D454" s="91"/>
      <c r="F454" s="91"/>
    </row>
    <row r="455" spans="4:6" ht="15.75" customHeight="1">
      <c r="D455" s="91"/>
      <c r="F455" s="91"/>
    </row>
    <row r="456" spans="4:6" ht="15.75" customHeight="1">
      <c r="D456" s="91"/>
      <c r="F456" s="91"/>
    </row>
    <row r="457" spans="4:6" ht="15.75" customHeight="1">
      <c r="D457" s="91"/>
      <c r="F457" s="91"/>
    </row>
    <row r="458" spans="4:6" ht="15.75" customHeight="1">
      <c r="D458" s="91"/>
      <c r="F458" s="91"/>
    </row>
    <row r="459" spans="4:6" ht="15.75" customHeight="1">
      <c r="D459" s="91"/>
      <c r="F459" s="91"/>
    </row>
    <row r="460" spans="4:6" ht="15.75" customHeight="1">
      <c r="D460" s="91"/>
      <c r="F460" s="91"/>
    </row>
    <row r="461" spans="4:6" ht="15.75" customHeight="1">
      <c r="D461" s="91"/>
      <c r="F461" s="91"/>
    </row>
    <row r="462" spans="4:6" ht="15.75" customHeight="1">
      <c r="D462" s="91"/>
      <c r="F462" s="91"/>
    </row>
    <row r="463" spans="4:6" ht="15.75" customHeight="1">
      <c r="D463" s="91"/>
      <c r="F463" s="91"/>
    </row>
    <row r="464" spans="4:6" ht="15.75" customHeight="1">
      <c r="D464" s="91"/>
      <c r="F464" s="91"/>
    </row>
    <row r="465" spans="4:6" ht="15.75" customHeight="1">
      <c r="D465" s="91"/>
      <c r="F465" s="91"/>
    </row>
    <row r="466" spans="4:6" ht="15.75" customHeight="1">
      <c r="D466" s="91"/>
      <c r="F466" s="91"/>
    </row>
    <row r="467" spans="4:6" ht="15.75" customHeight="1">
      <c r="D467" s="91"/>
      <c r="F467" s="91"/>
    </row>
    <row r="468" spans="4:6" ht="15.75" customHeight="1">
      <c r="D468" s="91"/>
      <c r="F468" s="91"/>
    </row>
    <row r="469" spans="4:6" ht="15.75" customHeight="1">
      <c r="D469" s="91"/>
      <c r="F469" s="91"/>
    </row>
    <row r="470" spans="4:6" ht="15.75" customHeight="1">
      <c r="D470" s="91"/>
      <c r="F470" s="91"/>
    </row>
    <row r="471" spans="4:6" ht="15.75" customHeight="1">
      <c r="D471" s="91"/>
      <c r="F471" s="91"/>
    </row>
    <row r="472" spans="4:6" ht="15.75" customHeight="1">
      <c r="D472" s="91"/>
      <c r="F472" s="91"/>
    </row>
    <row r="473" spans="4:6" ht="15.75" customHeight="1">
      <c r="D473" s="91"/>
      <c r="F473" s="91"/>
    </row>
    <row r="474" spans="4:6" ht="15.75" customHeight="1">
      <c r="D474" s="91"/>
      <c r="F474" s="91"/>
    </row>
    <row r="475" spans="4:6" ht="15.75" customHeight="1">
      <c r="D475" s="91"/>
      <c r="F475" s="91"/>
    </row>
    <row r="476" spans="4:6" ht="15.75" customHeight="1">
      <c r="D476" s="91"/>
      <c r="F476" s="91"/>
    </row>
    <row r="477" spans="4:6" ht="15.75" customHeight="1">
      <c r="D477" s="91"/>
      <c r="F477" s="91"/>
    </row>
    <row r="478" spans="4:6" ht="15.75" customHeight="1">
      <c r="D478" s="91"/>
      <c r="F478" s="91"/>
    </row>
    <row r="479" spans="4:6" ht="15.75" customHeight="1">
      <c r="D479" s="91"/>
      <c r="F479" s="91"/>
    </row>
    <row r="480" spans="4:6" ht="15.75" customHeight="1">
      <c r="D480" s="91"/>
      <c r="F480" s="91"/>
    </row>
    <row r="481" spans="4:6" ht="15.75" customHeight="1">
      <c r="D481" s="91"/>
      <c r="F481" s="91"/>
    </row>
    <row r="482" spans="4:6" ht="15.75" customHeight="1">
      <c r="D482" s="91"/>
      <c r="F482" s="91"/>
    </row>
    <row r="483" spans="4:6" ht="15.75" customHeight="1">
      <c r="D483" s="91"/>
      <c r="F483" s="91"/>
    </row>
    <row r="484" spans="4:6" ht="15.75" customHeight="1">
      <c r="D484" s="91"/>
      <c r="F484" s="91"/>
    </row>
    <row r="485" spans="4:6" ht="15.75" customHeight="1">
      <c r="D485" s="91"/>
      <c r="F485" s="91"/>
    </row>
    <row r="486" spans="4:6" ht="15.75" customHeight="1">
      <c r="D486" s="91"/>
      <c r="F486" s="91"/>
    </row>
    <row r="487" spans="4:6" ht="15.75" customHeight="1">
      <c r="D487" s="91"/>
      <c r="F487" s="91"/>
    </row>
    <row r="488" spans="4:6" ht="15.75" customHeight="1">
      <c r="D488" s="91"/>
      <c r="F488" s="91"/>
    </row>
    <row r="489" spans="4:6" ht="15.75" customHeight="1">
      <c r="D489" s="91"/>
      <c r="F489" s="91"/>
    </row>
    <row r="490" spans="4:6" ht="15.75" customHeight="1">
      <c r="D490" s="91"/>
      <c r="F490" s="91"/>
    </row>
    <row r="491" spans="4:6" ht="15.75" customHeight="1">
      <c r="D491" s="91"/>
      <c r="F491" s="91"/>
    </row>
    <row r="492" spans="4:6" ht="15.75" customHeight="1">
      <c r="D492" s="91"/>
      <c r="F492" s="91"/>
    </row>
  </sheetData>
  <printOptions/>
  <pageMargins left="0.5" right="0.5" top="0.5" bottom="0.5" header="0.5" footer="0.5"/>
  <pageSetup fitToHeight="1" fitToWidth="1" horizontalDpi="300" verticalDpi="300" orientation="portrait" scale="61" r:id="rId2"/>
  <rowBreaks count="4" manualBreakCount="4">
    <brk id="68" max="65535" man="1"/>
    <brk id="133" max="65535" man="1"/>
    <brk id="200" max="65535" man="1"/>
    <brk id="251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7:O80"/>
  <sheetViews>
    <sheetView zoomScale="75" zoomScaleNormal="75" workbookViewId="0" topLeftCell="A7">
      <pane xSplit="2" ySplit="3" topLeftCell="E43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C72" sqref="C72"/>
    </sheetView>
  </sheetViews>
  <sheetFormatPr defaultColWidth="9.00390625" defaultRowHeight="15.75" customHeight="1"/>
  <cols>
    <col min="1" max="1" width="12.00390625" style="95" customWidth="1"/>
    <col min="2" max="2" width="10.00390625" style="95" customWidth="1"/>
    <col min="3" max="3" width="10.375" style="95" bestFit="1" customWidth="1"/>
    <col min="4" max="4" width="8.125" style="95" customWidth="1"/>
    <col min="5" max="5" width="10.25390625" style="95" bestFit="1" customWidth="1"/>
    <col min="6" max="6" width="8.375" style="95" customWidth="1"/>
    <col min="7" max="7" width="10.25390625" style="95" bestFit="1" customWidth="1"/>
    <col min="8" max="8" width="8.375" style="95" customWidth="1"/>
    <col min="9" max="9" width="10.25390625" style="95" bestFit="1" customWidth="1"/>
    <col min="10" max="10" width="8.375" style="95" customWidth="1"/>
    <col min="11" max="11" width="10.25390625" style="95" hidden="1" customWidth="1"/>
    <col min="12" max="12" width="8.375" style="95" hidden="1" customWidth="1"/>
    <col min="13" max="13" width="3.25390625" style="95" customWidth="1"/>
    <col min="14" max="14" width="7.00390625" style="95" customWidth="1"/>
    <col min="15" max="16384" width="9.00390625" style="95" customWidth="1"/>
  </cols>
  <sheetData>
    <row r="7" spans="1:15" ht="15.75" customHeight="1">
      <c r="A7" s="96" t="s">
        <v>7</v>
      </c>
      <c r="B7" s="55"/>
      <c r="C7" s="56">
        <f>+'BALANCE SHEET'!C8</f>
        <v>36891</v>
      </c>
      <c r="D7" s="57"/>
      <c r="E7" s="56">
        <f>+'BALANCE SHEET'!E8</f>
        <v>37256</v>
      </c>
      <c r="F7" s="57"/>
      <c r="G7" s="56">
        <f>+'BALANCE SHEET'!G8</f>
        <v>37621</v>
      </c>
      <c r="H7" s="57"/>
      <c r="I7" s="56">
        <f>+'BALANCE SHEET'!I8</f>
        <v>37894</v>
      </c>
      <c r="J7" s="57"/>
      <c r="K7" s="56" t="s">
        <v>2</v>
      </c>
      <c r="L7" s="57"/>
      <c r="M7" s="97"/>
      <c r="N7" s="98"/>
      <c r="O7" s="99"/>
    </row>
    <row r="8" spans="1:15" ht="15.75" customHeight="1">
      <c r="A8" s="100" t="s">
        <v>8</v>
      </c>
      <c r="B8" s="44"/>
      <c r="C8" s="62" t="str">
        <f>+'BALANCE SHEET'!C9</f>
        <v>Tax Return</v>
      </c>
      <c r="D8" s="62"/>
      <c r="E8" s="62" t="str">
        <f>+'BALANCE SHEET'!E9</f>
        <v>Tax Return</v>
      </c>
      <c r="F8" s="62"/>
      <c r="G8" s="62" t="str">
        <f>+'BALANCE SHEET'!G9</f>
        <v>Tax Return</v>
      </c>
      <c r="H8" s="62"/>
      <c r="I8" s="62" t="str">
        <f>+'BALANCE SHEET'!I9</f>
        <v>F/S</v>
      </c>
      <c r="J8" s="62"/>
      <c r="K8" s="62" t="s">
        <v>72</v>
      </c>
      <c r="L8" s="62"/>
      <c r="M8" s="101"/>
      <c r="N8" s="102" t="s">
        <v>73</v>
      </c>
      <c r="O8" s="99"/>
    </row>
    <row r="9" spans="1:15" ht="15.75" customHeight="1">
      <c r="A9" s="103" t="s">
        <v>14</v>
      </c>
      <c r="B9" s="49"/>
      <c r="C9" s="69">
        <f>+'BALANCE SHEET'!C10</f>
        <v>12</v>
      </c>
      <c r="D9" s="69" t="str">
        <f>+'BALANCE SHEET'!D10</f>
        <v>Months</v>
      </c>
      <c r="E9" s="69">
        <f>+'BALANCE SHEET'!E10</f>
        <v>12</v>
      </c>
      <c r="F9" s="69" t="str">
        <f>+'BALANCE SHEET'!F10</f>
        <v>Months</v>
      </c>
      <c r="G9" s="69">
        <f>+'BALANCE SHEET'!G10</f>
        <v>12</v>
      </c>
      <c r="H9" s="69" t="str">
        <f>+'BALANCE SHEET'!H10</f>
        <v>Months</v>
      </c>
      <c r="I9" s="49">
        <f>+'BALANCE SHEET'!I10</f>
        <v>9</v>
      </c>
      <c r="J9" s="69" t="str">
        <f>+'BALANCE SHEET'!J10</f>
        <v>Months</v>
      </c>
      <c r="K9" s="69" t="s">
        <v>2</v>
      </c>
      <c r="L9" s="69"/>
      <c r="M9" s="105"/>
      <c r="N9" s="106"/>
      <c r="O9" s="99"/>
    </row>
    <row r="10" spans="1:15" ht="15.75" customHeight="1" thickBot="1">
      <c r="A10" s="107"/>
      <c r="B10" s="99"/>
      <c r="C10" s="108" t="s">
        <v>16</v>
      </c>
      <c r="D10" s="108" t="s">
        <v>12</v>
      </c>
      <c r="E10" s="108" t="s">
        <v>16</v>
      </c>
      <c r="F10" s="108" t="s">
        <v>12</v>
      </c>
      <c r="G10" s="108" t="s">
        <v>16</v>
      </c>
      <c r="H10" s="108" t="s">
        <v>12</v>
      </c>
      <c r="I10" s="108" t="s">
        <v>16</v>
      </c>
      <c r="J10" s="108" t="s">
        <v>12</v>
      </c>
      <c r="K10" s="108" t="s">
        <v>16</v>
      </c>
      <c r="L10" s="108" t="s">
        <v>12</v>
      </c>
      <c r="M10" s="108"/>
      <c r="N10" s="109"/>
      <c r="O10" s="99"/>
    </row>
    <row r="11" spans="1:15" ht="15.75" customHeight="1">
      <c r="A11" s="99" t="s">
        <v>74</v>
      </c>
      <c r="B11" s="99"/>
      <c r="C11" s="110">
        <v>916.3</v>
      </c>
      <c r="D11" s="111">
        <f aca="true" t="shared" si="0" ref="D11:D16">IF(C11&lt;&gt;0,+C11/$C$11," ")</f>
        <v>1</v>
      </c>
      <c r="E11" s="110">
        <v>910.9</v>
      </c>
      <c r="F11" s="111">
        <f aca="true" t="shared" si="1" ref="F11:F16">IF(E11&lt;&gt;0,+E11/$E$11," ")</f>
        <v>1</v>
      </c>
      <c r="G11" s="110">
        <v>1201.8</v>
      </c>
      <c r="H11" s="111">
        <f aca="true" t="shared" si="2" ref="H11:H16">IF(G11&lt;&gt;0,+G11/$G$11," ")</f>
        <v>1</v>
      </c>
      <c r="I11" s="110">
        <v>903.2</v>
      </c>
      <c r="J11" s="111">
        <f aca="true" t="shared" si="3" ref="J11:J16">IF(I11&lt;&gt;0,+I11/$I$11," ")</f>
        <v>1</v>
      </c>
      <c r="K11" s="112">
        <v>0</v>
      </c>
      <c r="L11" s="111" t="str">
        <f aca="true" t="shared" si="4" ref="L11:L16">IF(K11&lt;&gt;0,+K11/$K$11," ")</f>
        <v> </v>
      </c>
      <c r="M11" s="99"/>
      <c r="N11" s="113"/>
      <c r="O11" s="99"/>
    </row>
    <row r="12" spans="1:15" ht="15.75" customHeight="1">
      <c r="A12" s="99" t="s">
        <v>75</v>
      </c>
      <c r="B12" s="99"/>
      <c r="C12" s="114">
        <v>263.7</v>
      </c>
      <c r="D12" s="111">
        <f t="shared" si="0"/>
        <v>0.28778784240969113</v>
      </c>
      <c r="E12" s="115">
        <v>190</v>
      </c>
      <c r="F12" s="111">
        <f t="shared" si="1"/>
        <v>0.20858491601712592</v>
      </c>
      <c r="G12" s="115">
        <v>438</v>
      </c>
      <c r="H12" s="111">
        <f t="shared" si="2"/>
        <v>0.36445332001997005</v>
      </c>
      <c r="I12" s="115">
        <v>270</v>
      </c>
      <c r="J12" s="111">
        <f t="shared" si="3"/>
        <v>0.29893711248892824</v>
      </c>
      <c r="K12" s="116">
        <v>0</v>
      </c>
      <c r="L12" s="111" t="str">
        <f t="shared" si="4"/>
        <v> </v>
      </c>
      <c r="M12" s="105"/>
      <c r="N12" s="117"/>
      <c r="O12" s="99"/>
    </row>
    <row r="13" spans="1:15" ht="15.75" customHeight="1">
      <c r="A13" s="99" t="s">
        <v>76</v>
      </c>
      <c r="B13" s="99"/>
      <c r="C13" s="112">
        <f>+C11-C12</f>
        <v>652.5999999999999</v>
      </c>
      <c r="D13" s="111">
        <f t="shared" si="0"/>
        <v>0.7122121575903088</v>
      </c>
      <c r="E13" s="112">
        <f>+E11-E12</f>
        <v>720.9</v>
      </c>
      <c r="F13" s="111">
        <f t="shared" si="1"/>
        <v>0.7914150839828741</v>
      </c>
      <c r="G13" s="118">
        <f>+G11-G12</f>
        <v>763.8</v>
      </c>
      <c r="H13" s="111">
        <f t="shared" si="2"/>
        <v>0.6355466799800299</v>
      </c>
      <c r="I13" s="112">
        <f>+I11-I12</f>
        <v>633.2</v>
      </c>
      <c r="J13" s="111">
        <f t="shared" si="3"/>
        <v>0.7010628875110717</v>
      </c>
      <c r="K13" s="112">
        <f>+K11-K12</f>
        <v>0</v>
      </c>
      <c r="L13" s="111" t="str">
        <f t="shared" si="4"/>
        <v> </v>
      </c>
      <c r="M13" s="99"/>
      <c r="N13" s="113">
        <v>41.5</v>
      </c>
      <c r="O13" s="99"/>
    </row>
    <row r="14" spans="1:15" ht="15.75" customHeight="1">
      <c r="A14" s="99"/>
      <c r="B14" s="99"/>
      <c r="C14" s="110"/>
      <c r="D14" s="111" t="str">
        <f t="shared" si="0"/>
        <v> </v>
      </c>
      <c r="E14" s="110"/>
      <c r="F14" s="111" t="str">
        <f t="shared" si="1"/>
        <v> </v>
      </c>
      <c r="G14" s="110"/>
      <c r="H14" s="111" t="str">
        <f t="shared" si="2"/>
        <v> </v>
      </c>
      <c r="I14" s="110"/>
      <c r="J14" s="111" t="str">
        <f t="shared" si="3"/>
        <v> </v>
      </c>
      <c r="K14" s="112"/>
      <c r="L14" s="111" t="str">
        <f t="shared" si="4"/>
        <v> </v>
      </c>
      <c r="M14" s="99"/>
      <c r="N14" s="113"/>
      <c r="O14" s="99"/>
    </row>
    <row r="15" spans="1:15" ht="15.75" customHeight="1">
      <c r="A15" s="99" t="s">
        <v>77</v>
      </c>
      <c r="B15" s="99"/>
      <c r="C15" s="110">
        <v>4.2</v>
      </c>
      <c r="D15" s="111">
        <f t="shared" si="0"/>
        <v>0.004583651642475172</v>
      </c>
      <c r="E15" s="110">
        <v>1.4</v>
      </c>
      <c r="F15" s="111">
        <f t="shared" si="1"/>
        <v>0.0015369414864419804</v>
      </c>
      <c r="G15" s="110">
        <v>0</v>
      </c>
      <c r="H15" s="111" t="str">
        <f t="shared" si="2"/>
        <v> </v>
      </c>
      <c r="I15" s="110">
        <v>0</v>
      </c>
      <c r="J15" s="111" t="str">
        <f t="shared" si="3"/>
        <v> </v>
      </c>
      <c r="K15" s="112">
        <v>0</v>
      </c>
      <c r="L15" s="111" t="str">
        <f t="shared" si="4"/>
        <v> </v>
      </c>
      <c r="M15" s="99"/>
      <c r="N15" s="113"/>
      <c r="O15" s="99"/>
    </row>
    <row r="16" spans="1:15" ht="15.75" customHeight="1">
      <c r="A16" s="99" t="s">
        <v>78</v>
      </c>
      <c r="B16" s="99"/>
      <c r="C16" s="110">
        <v>10.2</v>
      </c>
      <c r="D16" s="111">
        <f t="shared" si="0"/>
        <v>0.011131725417439703</v>
      </c>
      <c r="E16" s="110">
        <v>4.1</v>
      </c>
      <c r="F16" s="111">
        <f t="shared" si="1"/>
        <v>0.0045010429245800855</v>
      </c>
      <c r="G16" s="110">
        <v>7.5</v>
      </c>
      <c r="H16" s="111">
        <f t="shared" si="2"/>
        <v>0.006240639041437844</v>
      </c>
      <c r="I16" s="110">
        <v>0</v>
      </c>
      <c r="J16" s="111" t="str">
        <f t="shared" si="3"/>
        <v> </v>
      </c>
      <c r="K16" s="112">
        <v>0</v>
      </c>
      <c r="L16" s="111" t="str">
        <f t="shared" si="4"/>
        <v> </v>
      </c>
      <c r="M16" s="99"/>
      <c r="N16" s="113"/>
      <c r="O16" s="99"/>
    </row>
    <row r="17" spans="1:15" ht="15.75" customHeight="1">
      <c r="A17" s="99" t="s">
        <v>79</v>
      </c>
      <c r="B17" s="99"/>
      <c r="C17" s="110">
        <v>19.7</v>
      </c>
      <c r="D17" s="111">
        <f aca="true" t="shared" si="5" ref="D17:D41">IF(C17&lt;&gt;0,+C17/$C$11," ")</f>
        <v>0.02149950889446688</v>
      </c>
      <c r="E17" s="110">
        <v>17.2</v>
      </c>
      <c r="F17" s="111">
        <f aca="true" t="shared" si="6" ref="F17:F41">IF(E17&lt;&gt;0,+E17/$E$11," ")</f>
        <v>0.01888242397628719</v>
      </c>
      <c r="G17" s="110">
        <v>10.6</v>
      </c>
      <c r="H17" s="111">
        <f aca="true" t="shared" si="7" ref="H17:H29">IF(G17&lt;&gt;0,+G17/$G$11," ")</f>
        <v>0.008820103178565485</v>
      </c>
      <c r="I17" s="110">
        <v>0</v>
      </c>
      <c r="J17" s="111" t="str">
        <f aca="true" t="shared" si="8" ref="J17:J29">IF(I17&lt;&gt;0,+I17/$I$11," ")</f>
        <v> </v>
      </c>
      <c r="K17" s="112">
        <v>0</v>
      </c>
      <c r="L17" s="111" t="str">
        <f aca="true" t="shared" si="9" ref="L17:L29">IF(K17&lt;&gt;0,+K17/$K$11," ")</f>
        <v> </v>
      </c>
      <c r="M17" s="99"/>
      <c r="N17" s="113"/>
      <c r="O17" s="99"/>
    </row>
    <row r="18" spans="1:15" ht="15.75" customHeight="1">
      <c r="A18" s="99" t="s">
        <v>286</v>
      </c>
      <c r="B18" s="99"/>
      <c r="C18" s="110">
        <v>21.2</v>
      </c>
      <c r="D18" s="111">
        <f t="shared" si="5"/>
        <v>0.02313652733820801</v>
      </c>
      <c r="E18" s="110">
        <v>25.2</v>
      </c>
      <c r="F18" s="111">
        <f t="shared" si="6"/>
        <v>0.027664946755955648</v>
      </c>
      <c r="G18" s="110">
        <v>27.8</v>
      </c>
      <c r="H18" s="111">
        <f t="shared" si="7"/>
        <v>0.023131968713596275</v>
      </c>
      <c r="I18" s="110">
        <v>26.8</v>
      </c>
      <c r="J18" s="111">
        <f t="shared" si="8"/>
        <v>0.02967227635075288</v>
      </c>
      <c r="K18" s="112">
        <v>0</v>
      </c>
      <c r="L18" s="111" t="str">
        <f t="shared" si="9"/>
        <v> </v>
      </c>
      <c r="M18" s="99"/>
      <c r="N18" s="113"/>
      <c r="O18" s="99"/>
    </row>
    <row r="19" spans="1:15" ht="15.75" customHeight="1">
      <c r="A19" s="99" t="s">
        <v>281</v>
      </c>
      <c r="B19" s="99"/>
      <c r="C19" s="110">
        <v>19.8</v>
      </c>
      <c r="D19" s="111">
        <f t="shared" si="5"/>
        <v>0.021608643457382955</v>
      </c>
      <c r="E19" s="110">
        <v>24.2</v>
      </c>
      <c r="F19" s="111">
        <f t="shared" si="6"/>
        <v>0.02656713140849709</v>
      </c>
      <c r="G19" s="110">
        <v>50.9</v>
      </c>
      <c r="H19" s="111">
        <f t="shared" si="7"/>
        <v>0.04235313696122483</v>
      </c>
      <c r="I19" s="110">
        <v>7</v>
      </c>
      <c r="J19" s="111">
        <f t="shared" si="8"/>
        <v>0.00775022143489814</v>
      </c>
      <c r="K19" s="112">
        <v>0</v>
      </c>
      <c r="L19" s="111" t="str">
        <f t="shared" si="9"/>
        <v> </v>
      </c>
      <c r="M19" s="99"/>
      <c r="N19" s="113"/>
      <c r="O19" s="99"/>
    </row>
    <row r="20" spans="1:15" ht="15.75" customHeight="1">
      <c r="A20" s="99" t="s">
        <v>209</v>
      </c>
      <c r="B20" s="99"/>
      <c r="C20" s="110">
        <v>94.6</v>
      </c>
      <c r="D20" s="111">
        <f t="shared" si="5"/>
        <v>0.10324129651860744</v>
      </c>
      <c r="E20" s="110">
        <v>61.2</v>
      </c>
      <c r="F20" s="111">
        <f t="shared" si="6"/>
        <v>0.06718629926446372</v>
      </c>
      <c r="G20" s="110">
        <v>57.3</v>
      </c>
      <c r="H20" s="111">
        <f t="shared" si="7"/>
        <v>0.047678482276585124</v>
      </c>
      <c r="I20" s="110">
        <v>42.9</v>
      </c>
      <c r="J20" s="111">
        <f t="shared" si="8"/>
        <v>0.047497785651018594</v>
      </c>
      <c r="K20" s="112">
        <v>0</v>
      </c>
      <c r="L20" s="111" t="str">
        <f t="shared" si="9"/>
        <v> </v>
      </c>
      <c r="M20" s="99"/>
      <c r="N20" s="113"/>
      <c r="O20" s="99"/>
    </row>
    <row r="21" spans="1:15" ht="15.75" customHeight="1">
      <c r="A21" s="99" t="s">
        <v>210</v>
      </c>
      <c r="B21" s="99"/>
      <c r="C21" s="110">
        <v>0</v>
      </c>
      <c r="D21" s="111" t="str">
        <f t="shared" si="5"/>
        <v> </v>
      </c>
      <c r="E21" s="110">
        <v>0</v>
      </c>
      <c r="F21" s="111" t="str">
        <f t="shared" si="6"/>
        <v> </v>
      </c>
      <c r="G21" s="110">
        <v>0</v>
      </c>
      <c r="H21" s="111" t="str">
        <f t="shared" si="7"/>
        <v> </v>
      </c>
      <c r="I21" s="110">
        <v>0</v>
      </c>
      <c r="J21" s="111" t="str">
        <f t="shared" si="8"/>
        <v> </v>
      </c>
      <c r="K21" s="112">
        <v>0</v>
      </c>
      <c r="L21" s="111" t="str">
        <f t="shared" si="9"/>
        <v> </v>
      </c>
      <c r="M21" s="99"/>
      <c r="N21" s="113"/>
      <c r="O21" s="99"/>
    </row>
    <row r="22" spans="1:15" ht="15.75" customHeight="1">
      <c r="A22" s="99" t="s">
        <v>80</v>
      </c>
      <c r="B22" s="99"/>
      <c r="C22" s="110">
        <v>7.2</v>
      </c>
      <c r="D22" s="111">
        <f t="shared" si="5"/>
        <v>0.007857688529957439</v>
      </c>
      <c r="E22" s="110">
        <v>11.8</v>
      </c>
      <c r="F22" s="111">
        <f t="shared" si="6"/>
        <v>0.012954221100010979</v>
      </c>
      <c r="G22" s="110">
        <v>12.8</v>
      </c>
      <c r="H22" s="111">
        <f t="shared" si="7"/>
        <v>0.010650690630720586</v>
      </c>
      <c r="I22" s="110">
        <v>10.5</v>
      </c>
      <c r="J22" s="111">
        <f t="shared" si="8"/>
        <v>0.01162533215234721</v>
      </c>
      <c r="K22" s="112">
        <v>0</v>
      </c>
      <c r="L22" s="111" t="str">
        <f t="shared" si="9"/>
        <v> </v>
      </c>
      <c r="M22" s="99"/>
      <c r="N22" s="113"/>
      <c r="O22" s="99"/>
    </row>
    <row r="23" spans="1:15" ht="15.75" customHeight="1">
      <c r="A23" s="99" t="s">
        <v>81</v>
      </c>
      <c r="B23" s="99"/>
      <c r="C23" s="110">
        <v>29.9</v>
      </c>
      <c r="D23" s="111">
        <f t="shared" si="5"/>
        <v>0.03263123431190658</v>
      </c>
      <c r="E23" s="110">
        <v>20.9</v>
      </c>
      <c r="F23" s="111">
        <f t="shared" si="6"/>
        <v>0.02294434076188385</v>
      </c>
      <c r="G23" s="110">
        <v>22</v>
      </c>
      <c r="H23" s="111">
        <f t="shared" si="7"/>
        <v>0.018305874521551007</v>
      </c>
      <c r="I23" s="110">
        <v>13.3</v>
      </c>
      <c r="J23" s="111">
        <f t="shared" si="8"/>
        <v>0.014725420726306466</v>
      </c>
      <c r="K23" s="112">
        <v>0</v>
      </c>
      <c r="L23" s="111" t="str">
        <f t="shared" si="9"/>
        <v> </v>
      </c>
      <c r="M23" s="99"/>
      <c r="N23" s="113"/>
      <c r="O23" s="99"/>
    </row>
    <row r="24" spans="1:15" ht="15.75" customHeight="1">
      <c r="A24" s="99" t="s">
        <v>82</v>
      </c>
      <c r="B24" s="99"/>
      <c r="C24" s="110">
        <v>33.8</v>
      </c>
      <c r="D24" s="111">
        <f t="shared" si="5"/>
        <v>0.03688748226563353</v>
      </c>
      <c r="E24" s="110">
        <v>0</v>
      </c>
      <c r="F24" s="111" t="str">
        <f t="shared" si="6"/>
        <v> </v>
      </c>
      <c r="G24" s="110">
        <v>70.8</v>
      </c>
      <c r="H24" s="111">
        <f t="shared" si="7"/>
        <v>0.05891163255117324</v>
      </c>
      <c r="I24" s="110">
        <v>0</v>
      </c>
      <c r="J24" s="111" t="str">
        <f t="shared" si="8"/>
        <v> </v>
      </c>
      <c r="K24" s="112">
        <v>0</v>
      </c>
      <c r="L24" s="111" t="str">
        <f t="shared" si="9"/>
        <v> </v>
      </c>
      <c r="M24" s="99"/>
      <c r="N24" s="113"/>
      <c r="O24" s="99"/>
    </row>
    <row r="25" spans="1:15" ht="15.75" customHeight="1">
      <c r="A25" s="99" t="s">
        <v>83</v>
      </c>
      <c r="B25" s="99"/>
      <c r="C25" s="110">
        <v>44.2</v>
      </c>
      <c r="D25" s="111">
        <f t="shared" si="5"/>
        <v>0.04823747680890539</v>
      </c>
      <c r="E25" s="110">
        <v>41.5</v>
      </c>
      <c r="F25" s="111">
        <f t="shared" si="6"/>
        <v>0.04555933691953014</v>
      </c>
      <c r="G25" s="110">
        <v>47.1</v>
      </c>
      <c r="H25" s="111">
        <f t="shared" si="7"/>
        <v>0.03919121318022966</v>
      </c>
      <c r="I25" s="110">
        <v>34.4</v>
      </c>
      <c r="J25" s="111">
        <f t="shared" si="8"/>
        <v>0.038086802480070854</v>
      </c>
      <c r="K25" s="112">
        <v>0</v>
      </c>
      <c r="L25" s="111" t="str">
        <f t="shared" si="9"/>
        <v> </v>
      </c>
      <c r="M25" s="99"/>
      <c r="N25" s="113"/>
      <c r="O25" s="99"/>
    </row>
    <row r="26" spans="1:15" ht="15.75" customHeight="1">
      <c r="A26" s="99" t="s">
        <v>84</v>
      </c>
      <c r="B26" s="99"/>
      <c r="C26" s="110">
        <v>6.4</v>
      </c>
      <c r="D26" s="111">
        <f t="shared" si="5"/>
        <v>0.006984612026628834</v>
      </c>
      <c r="E26" s="110">
        <v>12.7</v>
      </c>
      <c r="F26" s="111">
        <f t="shared" si="6"/>
        <v>0.013942254912723679</v>
      </c>
      <c r="G26" s="110">
        <v>7.6</v>
      </c>
      <c r="H26" s="111">
        <f t="shared" si="7"/>
        <v>0.006323847561990348</v>
      </c>
      <c r="I26" s="110">
        <v>4.3</v>
      </c>
      <c r="J26" s="111">
        <f t="shared" si="8"/>
        <v>0.004760850310008857</v>
      </c>
      <c r="K26" s="112">
        <v>0</v>
      </c>
      <c r="L26" s="111" t="str">
        <f t="shared" si="9"/>
        <v> </v>
      </c>
      <c r="M26" s="99"/>
      <c r="N26" s="113"/>
      <c r="O26" s="99"/>
    </row>
    <row r="27" spans="1:15" ht="15.75" customHeight="1">
      <c r="A27" s="99" t="s">
        <v>287</v>
      </c>
      <c r="B27" s="99"/>
      <c r="C27" s="110">
        <v>48.4</v>
      </c>
      <c r="D27" s="111">
        <f t="shared" si="5"/>
        <v>0.05282112845138055</v>
      </c>
      <c r="E27" s="110">
        <v>58.7</v>
      </c>
      <c r="F27" s="111">
        <f t="shared" si="6"/>
        <v>0.06444176089581732</v>
      </c>
      <c r="G27" s="110">
        <v>0</v>
      </c>
      <c r="H27" s="111" t="str">
        <f t="shared" si="7"/>
        <v> </v>
      </c>
      <c r="I27" s="110">
        <v>49.3</v>
      </c>
      <c r="J27" s="111">
        <f t="shared" si="8"/>
        <v>0.054583702391496895</v>
      </c>
      <c r="K27" s="112">
        <v>0</v>
      </c>
      <c r="L27" s="111" t="str">
        <f t="shared" si="9"/>
        <v> </v>
      </c>
      <c r="M27" s="99"/>
      <c r="N27" s="113"/>
      <c r="O27" s="99"/>
    </row>
    <row r="28" spans="1:15" ht="15.75" customHeight="1">
      <c r="A28" s="99" t="s">
        <v>85</v>
      </c>
      <c r="B28" s="99"/>
      <c r="C28" s="110">
        <v>22.7</v>
      </c>
      <c r="D28" s="111">
        <f t="shared" si="5"/>
        <v>0.024773545781949145</v>
      </c>
      <c r="E28" s="110">
        <v>26.2</v>
      </c>
      <c r="F28" s="111">
        <f t="shared" si="6"/>
        <v>0.028762762103414205</v>
      </c>
      <c r="G28" s="110">
        <v>33.7</v>
      </c>
      <c r="H28" s="111">
        <f t="shared" si="7"/>
        <v>0.028041271426194045</v>
      </c>
      <c r="I28" s="110">
        <v>29.8</v>
      </c>
      <c r="J28" s="111">
        <f t="shared" si="8"/>
        <v>0.03299379982285208</v>
      </c>
      <c r="K28" s="112">
        <v>0</v>
      </c>
      <c r="L28" s="111" t="str">
        <f t="shared" si="9"/>
        <v> </v>
      </c>
      <c r="M28" s="99"/>
      <c r="N28" s="113"/>
      <c r="O28" s="99"/>
    </row>
    <row r="29" spans="1:15" ht="15.75" customHeight="1">
      <c r="A29" s="99" t="s">
        <v>86</v>
      </c>
      <c r="B29" s="99"/>
      <c r="C29" s="110">
        <v>22.3</v>
      </c>
      <c r="D29" s="111">
        <f t="shared" si="5"/>
        <v>0.024337007530284845</v>
      </c>
      <c r="E29" s="110">
        <v>23.9</v>
      </c>
      <c r="F29" s="111">
        <f t="shared" si="6"/>
        <v>0.026237786804259523</v>
      </c>
      <c r="G29" s="110">
        <v>26.4</v>
      </c>
      <c r="H29" s="111">
        <f t="shared" si="7"/>
        <v>0.021967049425861206</v>
      </c>
      <c r="I29" s="110">
        <v>14.3</v>
      </c>
      <c r="J29" s="111">
        <f t="shared" si="8"/>
        <v>0.0158325952170062</v>
      </c>
      <c r="K29" s="112">
        <v>0</v>
      </c>
      <c r="L29" s="111" t="str">
        <f t="shared" si="9"/>
        <v> </v>
      </c>
      <c r="M29" s="99"/>
      <c r="N29" s="113"/>
      <c r="O29" s="99"/>
    </row>
    <row r="30" spans="1:15" ht="15.75" customHeight="1">
      <c r="A30" s="99" t="s">
        <v>87</v>
      </c>
      <c r="B30" s="99"/>
      <c r="C30" s="110">
        <v>158.5</v>
      </c>
      <c r="D30" s="111">
        <f t="shared" si="5"/>
        <v>0.17297828222197972</v>
      </c>
      <c r="E30" s="110">
        <v>246.9</v>
      </c>
      <c r="F30" s="111">
        <f t="shared" si="6"/>
        <v>0.27105060928751784</v>
      </c>
      <c r="G30" s="110">
        <v>225</v>
      </c>
      <c r="H30" s="111">
        <f aca="true" t="shared" si="10" ref="H30:H41">IF(G30&lt;&gt;0,+G30/$G$11," ")</f>
        <v>0.1872191712431353</v>
      </c>
      <c r="I30" s="110">
        <v>83.2</v>
      </c>
      <c r="J30" s="111">
        <f aca="true" t="shared" si="11" ref="J30:J41">IF(I30&lt;&gt;0,+I30/$I$11," ")</f>
        <v>0.09211691762621789</v>
      </c>
      <c r="K30" s="112">
        <v>0</v>
      </c>
      <c r="L30" s="111" t="str">
        <f aca="true" t="shared" si="12" ref="L30:L41">IF(K30&lt;&gt;0,+K30/$K$11," ")</f>
        <v> </v>
      </c>
      <c r="M30" s="99"/>
      <c r="N30" s="113"/>
      <c r="O30" s="99"/>
    </row>
    <row r="31" spans="1:15" ht="15.75" customHeight="1">
      <c r="A31" s="99" t="s">
        <v>230</v>
      </c>
      <c r="B31" s="99"/>
      <c r="C31" s="110">
        <v>18.4</v>
      </c>
      <c r="D31" s="111"/>
      <c r="E31" s="110">
        <v>0</v>
      </c>
      <c r="F31" s="111" t="str">
        <f t="shared" si="6"/>
        <v> </v>
      </c>
      <c r="G31" s="110">
        <v>27.7</v>
      </c>
      <c r="H31" s="111">
        <f t="shared" si="10"/>
        <v>0.023048760193043766</v>
      </c>
      <c r="I31" s="110"/>
      <c r="J31" s="111"/>
      <c r="K31" s="112"/>
      <c r="L31" s="111"/>
      <c r="M31" s="99"/>
      <c r="N31" s="113"/>
      <c r="O31" s="99"/>
    </row>
    <row r="32" spans="1:15" ht="15.75" customHeight="1">
      <c r="A32" s="170" t="s">
        <v>281</v>
      </c>
      <c r="B32" s="99"/>
      <c r="C32" s="110">
        <v>0</v>
      </c>
      <c r="D32" s="111" t="str">
        <f t="shared" si="5"/>
        <v> </v>
      </c>
      <c r="E32" s="110">
        <v>0</v>
      </c>
      <c r="F32" s="111" t="s">
        <v>2</v>
      </c>
      <c r="G32" s="110">
        <v>0</v>
      </c>
      <c r="H32" s="111" t="str">
        <f t="shared" si="10"/>
        <v> </v>
      </c>
      <c r="I32" s="110">
        <v>0</v>
      </c>
      <c r="J32" s="111" t="str">
        <f t="shared" si="11"/>
        <v> </v>
      </c>
      <c r="K32" s="112">
        <v>0</v>
      </c>
      <c r="L32" s="111" t="str">
        <f t="shared" si="12"/>
        <v> </v>
      </c>
      <c r="M32" s="99"/>
      <c r="N32" s="113"/>
      <c r="O32" s="99"/>
    </row>
    <row r="33" spans="1:15" ht="15.75" customHeight="1">
      <c r="A33" s="99" t="s">
        <v>88</v>
      </c>
      <c r="B33" s="99"/>
      <c r="C33" s="110">
        <v>64.7</v>
      </c>
      <c r="D33" s="111">
        <f t="shared" si="5"/>
        <v>0.07061006220670087</v>
      </c>
      <c r="E33" s="110">
        <v>88.3</v>
      </c>
      <c r="F33" s="111">
        <f t="shared" si="6"/>
        <v>0.09693709518059063</v>
      </c>
      <c r="G33" s="110">
        <v>64.7</v>
      </c>
      <c r="H33" s="111">
        <f t="shared" si="10"/>
        <v>0.053835912797470464</v>
      </c>
      <c r="I33" s="110">
        <v>205.4</v>
      </c>
      <c r="J33" s="111">
        <f t="shared" si="11"/>
        <v>0.22741364038972542</v>
      </c>
      <c r="K33" s="112">
        <v>0</v>
      </c>
      <c r="L33" s="111" t="str">
        <f t="shared" si="12"/>
        <v> </v>
      </c>
      <c r="M33" s="99"/>
      <c r="N33" s="113"/>
      <c r="O33" s="99"/>
    </row>
    <row r="34" spans="1:15" ht="15.75" customHeight="1">
      <c r="A34" s="99" t="s">
        <v>89</v>
      </c>
      <c r="B34" s="99"/>
      <c r="C34" s="110">
        <v>3</v>
      </c>
      <c r="D34" s="111">
        <f t="shared" si="5"/>
        <v>0.0032740368874822658</v>
      </c>
      <c r="E34" s="110">
        <v>0</v>
      </c>
      <c r="F34" s="111" t="str">
        <f t="shared" si="6"/>
        <v> </v>
      </c>
      <c r="G34" s="110">
        <v>0</v>
      </c>
      <c r="H34" s="111" t="str">
        <f t="shared" si="10"/>
        <v> </v>
      </c>
      <c r="I34" s="110">
        <v>0</v>
      </c>
      <c r="J34" s="111" t="str">
        <f t="shared" si="11"/>
        <v> </v>
      </c>
      <c r="K34" s="112">
        <v>0</v>
      </c>
      <c r="L34" s="111" t="str">
        <f t="shared" si="12"/>
        <v> </v>
      </c>
      <c r="M34" s="99"/>
      <c r="N34" s="113"/>
      <c r="O34" s="99"/>
    </row>
    <row r="35" spans="1:15" ht="15.75" customHeight="1">
      <c r="A35" s="99" t="s">
        <v>31</v>
      </c>
      <c r="B35" s="99"/>
      <c r="C35" s="110">
        <v>4.6</v>
      </c>
      <c r="D35" s="111">
        <f t="shared" si="5"/>
        <v>0.005020189894139474</v>
      </c>
      <c r="E35" s="110">
        <v>11.7</v>
      </c>
      <c r="F35" s="111">
        <f t="shared" si="6"/>
        <v>0.012844439565265122</v>
      </c>
      <c r="G35" s="110">
        <v>23.5</v>
      </c>
      <c r="H35" s="111">
        <f t="shared" si="10"/>
        <v>0.019554002329838577</v>
      </c>
      <c r="I35" s="110">
        <v>0</v>
      </c>
      <c r="J35" s="111" t="str">
        <f t="shared" si="11"/>
        <v> </v>
      </c>
      <c r="K35" s="112">
        <v>0</v>
      </c>
      <c r="L35" s="111" t="str">
        <f t="shared" si="12"/>
        <v> </v>
      </c>
      <c r="M35" s="99"/>
      <c r="N35" s="113"/>
      <c r="O35" s="99"/>
    </row>
    <row r="36" spans="1:15" ht="15.75" customHeight="1">
      <c r="A36" s="99" t="s">
        <v>90</v>
      </c>
      <c r="B36" s="99"/>
      <c r="C36" s="115">
        <v>0</v>
      </c>
      <c r="D36" s="111" t="str">
        <f t="shared" si="5"/>
        <v> </v>
      </c>
      <c r="E36" s="115">
        <v>0</v>
      </c>
      <c r="F36" s="111" t="str">
        <f t="shared" si="6"/>
        <v> </v>
      </c>
      <c r="G36" s="115">
        <v>0</v>
      </c>
      <c r="H36" s="111" t="str">
        <f t="shared" si="10"/>
        <v> </v>
      </c>
      <c r="I36" s="115">
        <v>0</v>
      </c>
      <c r="J36" s="111" t="str">
        <f t="shared" si="11"/>
        <v> </v>
      </c>
      <c r="K36" s="116">
        <v>0</v>
      </c>
      <c r="L36" s="111" t="str">
        <f t="shared" si="12"/>
        <v> </v>
      </c>
      <c r="M36" s="105"/>
      <c r="N36" s="117"/>
      <c r="O36" s="99"/>
    </row>
    <row r="37" spans="1:15" ht="15.75" customHeight="1">
      <c r="A37" s="99" t="s">
        <v>91</v>
      </c>
      <c r="B37" s="99"/>
      <c r="C37" s="112">
        <f>SUM(C15:C36)</f>
        <v>633.8</v>
      </c>
      <c r="D37" s="111">
        <f t="shared" si="5"/>
        <v>0.6916948597620867</v>
      </c>
      <c r="E37" s="112">
        <f>SUM(E15:E36)</f>
        <v>675.9</v>
      </c>
      <c r="F37" s="111">
        <f t="shared" si="6"/>
        <v>0.742013393347239</v>
      </c>
      <c r="G37" s="112">
        <f>SUM(G15:G36)</f>
        <v>715.4000000000001</v>
      </c>
      <c r="H37" s="111">
        <f t="shared" si="10"/>
        <v>0.5952737560326178</v>
      </c>
      <c r="I37" s="112">
        <f>SUM(I15:I36)</f>
        <v>521.2</v>
      </c>
      <c r="J37" s="111">
        <f t="shared" si="11"/>
        <v>0.5770593445527016</v>
      </c>
      <c r="K37" s="112">
        <f>SUM(K15:K36)</f>
        <v>0</v>
      </c>
      <c r="L37" s="111" t="str">
        <f t="shared" si="12"/>
        <v> </v>
      </c>
      <c r="M37" s="99"/>
      <c r="N37" s="113">
        <v>38.5</v>
      </c>
      <c r="O37" s="99"/>
    </row>
    <row r="38" spans="1:15" ht="15.75" customHeight="1">
      <c r="A38" s="99"/>
      <c r="B38" s="99"/>
      <c r="C38" s="112"/>
      <c r="D38" s="111" t="str">
        <f t="shared" si="5"/>
        <v> </v>
      </c>
      <c r="E38" s="112"/>
      <c r="F38" s="111" t="str">
        <f t="shared" si="6"/>
        <v> </v>
      </c>
      <c r="G38" s="112"/>
      <c r="H38" s="111" t="str">
        <f t="shared" si="10"/>
        <v> </v>
      </c>
      <c r="I38" s="112"/>
      <c r="J38" s="111" t="str">
        <f t="shared" si="11"/>
        <v> </v>
      </c>
      <c r="K38" s="112"/>
      <c r="L38" s="111" t="str">
        <f t="shared" si="12"/>
        <v> </v>
      </c>
      <c r="M38" s="99"/>
      <c r="N38" s="113"/>
      <c r="O38" s="99"/>
    </row>
    <row r="39" spans="1:15" ht="15.75" customHeight="1">
      <c r="A39" s="119" t="s">
        <v>92</v>
      </c>
      <c r="B39" s="99"/>
      <c r="C39" s="120">
        <f>+C13-C37</f>
        <v>18.799999999999955</v>
      </c>
      <c r="D39" s="111">
        <f t="shared" si="5"/>
        <v>0.02051729782822215</v>
      </c>
      <c r="E39" s="120">
        <f>+E13-E37</f>
        <v>45</v>
      </c>
      <c r="F39" s="111">
        <f t="shared" si="6"/>
        <v>0.049401690635635084</v>
      </c>
      <c r="G39" s="120">
        <f>+G13-G37</f>
        <v>48.399999999999864</v>
      </c>
      <c r="H39" s="111">
        <f t="shared" si="10"/>
        <v>0.0402729239474121</v>
      </c>
      <c r="I39" s="120">
        <f>+I13-I37</f>
        <v>112</v>
      </c>
      <c r="J39" s="111">
        <f t="shared" si="11"/>
        <v>0.12400354295837024</v>
      </c>
      <c r="K39" s="120">
        <f>+K13-K37</f>
        <v>0</v>
      </c>
      <c r="L39" s="111" t="str">
        <f t="shared" si="12"/>
        <v> </v>
      </c>
      <c r="M39" s="99"/>
      <c r="N39" s="113"/>
      <c r="O39" s="99"/>
    </row>
    <row r="40" spans="1:15" ht="15.75" customHeight="1" hidden="1">
      <c r="A40" s="99"/>
      <c r="B40" s="99"/>
      <c r="C40" s="110"/>
      <c r="D40" s="111" t="str">
        <f t="shared" si="5"/>
        <v> </v>
      </c>
      <c r="E40" s="110"/>
      <c r="F40" s="111" t="str">
        <f t="shared" si="6"/>
        <v> </v>
      </c>
      <c r="G40" s="110"/>
      <c r="H40" s="111" t="str">
        <f t="shared" si="10"/>
        <v> </v>
      </c>
      <c r="I40" s="110"/>
      <c r="J40" s="111" t="str">
        <f t="shared" si="11"/>
        <v> </v>
      </c>
      <c r="K40" s="112"/>
      <c r="L40" s="111" t="str">
        <f t="shared" si="12"/>
        <v> </v>
      </c>
      <c r="M40" s="99"/>
      <c r="N40" s="113"/>
      <c r="O40" s="99"/>
    </row>
    <row r="41" spans="1:15" ht="15.75" customHeight="1">
      <c r="A41" s="99" t="s">
        <v>93</v>
      </c>
      <c r="B41" s="99"/>
      <c r="C41" s="110">
        <v>-9.2</v>
      </c>
      <c r="D41" s="111">
        <f t="shared" si="5"/>
        <v>-0.010040379788278948</v>
      </c>
      <c r="E41" s="110">
        <v>-11.7</v>
      </c>
      <c r="F41" s="111">
        <f t="shared" si="6"/>
        <v>-0.012844439565265122</v>
      </c>
      <c r="G41" s="110">
        <v>-9.4</v>
      </c>
      <c r="H41" s="111">
        <f t="shared" si="10"/>
        <v>-0.007821600931935431</v>
      </c>
      <c r="I41" s="110">
        <v>-8.8</v>
      </c>
      <c r="J41" s="111">
        <f t="shared" si="11"/>
        <v>-0.009743135518157663</v>
      </c>
      <c r="K41" s="112">
        <v>0</v>
      </c>
      <c r="L41" s="111" t="str">
        <f t="shared" si="12"/>
        <v> </v>
      </c>
      <c r="M41" s="99"/>
      <c r="N41" s="113"/>
      <c r="O41" s="99"/>
    </row>
    <row r="42" spans="1:15" ht="15.75" customHeight="1">
      <c r="A42" s="99" t="s">
        <v>94</v>
      </c>
      <c r="B42" s="99"/>
      <c r="C42" s="110"/>
      <c r="D42" s="111"/>
      <c r="E42" s="110">
        <v>0</v>
      </c>
      <c r="F42" s="111"/>
      <c r="G42" s="110">
        <v>0</v>
      </c>
      <c r="H42" s="111"/>
      <c r="I42" s="110"/>
      <c r="J42" s="111"/>
      <c r="K42" s="112">
        <v>0</v>
      </c>
      <c r="L42" s="111"/>
      <c r="M42" s="99"/>
      <c r="N42" s="113"/>
      <c r="O42" s="99"/>
    </row>
    <row r="43" spans="1:15" ht="15.75" customHeight="1">
      <c r="A43" s="99" t="s">
        <v>280</v>
      </c>
      <c r="B43" s="99"/>
      <c r="C43" s="110">
        <v>0</v>
      </c>
      <c r="D43" s="111"/>
      <c r="E43" s="110"/>
      <c r="F43" s="111"/>
      <c r="G43" s="110"/>
      <c r="H43" s="111"/>
      <c r="I43" s="110"/>
      <c r="J43" s="111"/>
      <c r="K43" s="112"/>
      <c r="L43" s="111"/>
      <c r="M43" s="99"/>
      <c r="N43" s="113"/>
      <c r="O43" s="99"/>
    </row>
    <row r="44" spans="1:15" ht="15.75" customHeight="1">
      <c r="A44" s="99" t="s">
        <v>217</v>
      </c>
      <c r="B44" s="99"/>
      <c r="C44" s="115">
        <v>0</v>
      </c>
      <c r="D44" s="111" t="str">
        <f>IF(C44&lt;&gt;0,+C44/$C$11," ")</f>
        <v> </v>
      </c>
      <c r="E44" s="115">
        <v>0</v>
      </c>
      <c r="F44" s="111" t="str">
        <f>IF(E44&lt;&gt;0,+E44/$E$11," ")</f>
        <v> </v>
      </c>
      <c r="G44" s="115">
        <v>0</v>
      </c>
      <c r="H44" s="111" t="str">
        <f>IF(G44&lt;&gt;0,+G44/$G$11," ")</f>
        <v> </v>
      </c>
      <c r="I44" s="115">
        <v>0</v>
      </c>
      <c r="J44" s="111" t="str">
        <f>IF(I44&lt;&gt;0,+I44/$I$11," ")</f>
        <v> </v>
      </c>
      <c r="K44" s="116">
        <v>0</v>
      </c>
      <c r="L44" s="111" t="str">
        <f>IF(K44&lt;&gt;0,+K44/$K$11," ")</f>
        <v> </v>
      </c>
      <c r="M44" s="105"/>
      <c r="N44" s="117"/>
      <c r="O44" s="99"/>
    </row>
    <row r="45" spans="1:15" ht="15.75" customHeight="1">
      <c r="A45" s="119" t="s">
        <v>95</v>
      </c>
      <c r="B45" s="99"/>
      <c r="C45" s="120">
        <f>+C39+SUM(C41:C44)</f>
        <v>9.599999999999955</v>
      </c>
      <c r="D45" s="111">
        <f aca="true" t="shared" si="13" ref="D45:D54">IF(C45&lt;&gt;0,+C45/$C$11," ")</f>
        <v>0.010476918039943202</v>
      </c>
      <c r="E45" s="120">
        <f>+E39+SUM(E41:E44)</f>
        <v>33.3</v>
      </c>
      <c r="F45" s="111">
        <f aca="true" t="shared" si="14" ref="F45:F54">IF(E45&lt;&gt;0,+E45/$E$11," ")</f>
        <v>0.03655725107036996</v>
      </c>
      <c r="G45" s="120">
        <f>+G39+SUM(G41:G44)</f>
        <v>38.999999999999865</v>
      </c>
      <c r="H45" s="111">
        <f aca="true" t="shared" si="15" ref="H45:H55">IF(G45&lt;&gt;0,+G45/$G$11," ")</f>
        <v>0.03245132301547667</v>
      </c>
      <c r="I45" s="120">
        <f>+I39+SUM(I41:I44)</f>
        <v>103.2</v>
      </c>
      <c r="J45" s="111">
        <f>IF(I45&lt;&gt;0,+I45/$I$11," ")</f>
        <v>0.11426040744021257</v>
      </c>
      <c r="K45" s="120">
        <f>+K39+SUM(K41:K44)</f>
        <v>0</v>
      </c>
      <c r="L45" s="111" t="str">
        <f aca="true" t="shared" si="16" ref="L45:L53">IF(K45&lt;&gt;0,+K45/$K$11," ")</f>
        <v> </v>
      </c>
      <c r="M45" s="99"/>
      <c r="N45" s="113">
        <v>2.1</v>
      </c>
      <c r="O45" s="99"/>
    </row>
    <row r="46" spans="1:15" ht="15.75" customHeight="1" hidden="1">
      <c r="A46" s="99"/>
      <c r="B46" s="99"/>
      <c r="C46" s="110"/>
      <c r="D46" s="111" t="str">
        <f t="shared" si="13"/>
        <v> </v>
      </c>
      <c r="E46" s="110"/>
      <c r="F46" s="111" t="str">
        <f t="shared" si="14"/>
        <v> </v>
      </c>
      <c r="G46" s="110"/>
      <c r="H46" s="111" t="str">
        <f t="shared" si="15"/>
        <v> </v>
      </c>
      <c r="I46" s="110"/>
      <c r="J46" s="111" t="str">
        <f>IF(I46&lt;&gt;0,+I46/$I$11," ")</f>
        <v> </v>
      </c>
      <c r="K46" s="112"/>
      <c r="L46" s="111" t="str">
        <f t="shared" si="16"/>
        <v> </v>
      </c>
      <c r="M46" s="99"/>
      <c r="N46" s="113"/>
      <c r="O46" s="99"/>
    </row>
    <row r="47" spans="1:15" ht="15.75" customHeight="1" hidden="1">
      <c r="A47" s="99" t="s">
        <v>96</v>
      </c>
      <c r="B47" s="99"/>
      <c r="C47" s="110">
        <v>0</v>
      </c>
      <c r="D47" s="111" t="str">
        <f t="shared" si="13"/>
        <v> </v>
      </c>
      <c r="E47" s="110">
        <v>0</v>
      </c>
      <c r="F47" s="111" t="str">
        <f t="shared" si="14"/>
        <v> </v>
      </c>
      <c r="G47" s="110">
        <v>0</v>
      </c>
      <c r="H47" s="111" t="str">
        <f t="shared" si="15"/>
        <v> </v>
      </c>
      <c r="I47" s="110">
        <v>0</v>
      </c>
      <c r="J47" s="111" t="str">
        <f>IF(I47&lt;&gt;0,+I47/$I$11," ")</f>
        <v> </v>
      </c>
      <c r="K47" s="112">
        <v>0</v>
      </c>
      <c r="L47" s="111" t="str">
        <f t="shared" si="16"/>
        <v> </v>
      </c>
      <c r="M47" s="99"/>
      <c r="N47" s="113"/>
      <c r="O47" s="99"/>
    </row>
    <row r="48" spans="1:15" ht="15.75" customHeight="1" hidden="1">
      <c r="A48" s="99"/>
      <c r="B48" s="99"/>
      <c r="C48" s="110"/>
      <c r="D48" s="111" t="str">
        <f t="shared" si="13"/>
        <v> </v>
      </c>
      <c r="E48" s="110"/>
      <c r="F48" s="111" t="str">
        <f t="shared" si="14"/>
        <v> </v>
      </c>
      <c r="G48" s="110"/>
      <c r="H48" s="111" t="str">
        <f t="shared" si="15"/>
        <v> </v>
      </c>
      <c r="I48" s="110" t="s">
        <v>2</v>
      </c>
      <c r="J48" s="111"/>
      <c r="K48" s="112"/>
      <c r="L48" s="111" t="str">
        <f t="shared" si="16"/>
        <v> </v>
      </c>
      <c r="M48" s="99"/>
      <c r="N48" s="113"/>
      <c r="O48" s="99"/>
    </row>
    <row r="49" spans="1:15" ht="15.75" customHeight="1" hidden="1">
      <c r="A49" s="99" t="s">
        <v>218</v>
      </c>
      <c r="B49" s="99"/>
      <c r="C49" s="110">
        <f>+C45-C47</f>
        <v>9.599999999999955</v>
      </c>
      <c r="D49" s="111">
        <f t="shared" si="13"/>
        <v>0.010476918039943202</v>
      </c>
      <c r="E49" s="110">
        <f>+E45-E47</f>
        <v>33.3</v>
      </c>
      <c r="F49" s="111">
        <f t="shared" si="14"/>
        <v>0.03655725107036996</v>
      </c>
      <c r="G49" s="110">
        <f>+G45-G47</f>
        <v>38.999999999999865</v>
      </c>
      <c r="H49" s="111">
        <f t="shared" si="15"/>
        <v>0.03245132301547667</v>
      </c>
      <c r="I49" s="110">
        <f>+I45-I47</f>
        <v>103.2</v>
      </c>
      <c r="J49" s="111">
        <f aca="true" t="shared" si="17" ref="J49:J55">IF(I49&lt;&gt;0,+I49/$I$11," ")</f>
        <v>0.11426040744021257</v>
      </c>
      <c r="K49" s="110">
        <f>+K45-K47</f>
        <v>0</v>
      </c>
      <c r="L49" s="111" t="str">
        <f t="shared" si="16"/>
        <v> </v>
      </c>
      <c r="M49" s="99"/>
      <c r="N49" s="113"/>
      <c r="O49" s="99"/>
    </row>
    <row r="50" spans="1:15" ht="15.75" customHeight="1" hidden="1">
      <c r="A50" s="99" t="s">
        <v>97</v>
      </c>
      <c r="B50" s="99"/>
      <c r="C50" s="110"/>
      <c r="D50" s="111" t="str">
        <f t="shared" si="13"/>
        <v> </v>
      </c>
      <c r="E50" s="110"/>
      <c r="F50" s="111" t="str">
        <f t="shared" si="14"/>
        <v> </v>
      </c>
      <c r="G50" s="110"/>
      <c r="H50" s="111" t="str">
        <f t="shared" si="15"/>
        <v> </v>
      </c>
      <c r="I50" s="110"/>
      <c r="J50" s="111" t="str">
        <f t="shared" si="17"/>
        <v> </v>
      </c>
      <c r="K50" s="112"/>
      <c r="L50" s="111" t="str">
        <f t="shared" si="16"/>
        <v> </v>
      </c>
      <c r="M50" s="99"/>
      <c r="N50" s="113"/>
      <c r="O50" s="99"/>
    </row>
    <row r="51" spans="1:15" ht="15.75" customHeight="1" hidden="1">
      <c r="A51" s="99" t="s">
        <v>98</v>
      </c>
      <c r="B51" s="99"/>
      <c r="C51" s="115"/>
      <c r="D51" s="111" t="str">
        <f t="shared" si="13"/>
        <v> </v>
      </c>
      <c r="E51" s="115"/>
      <c r="F51" s="111" t="str">
        <f t="shared" si="14"/>
        <v> </v>
      </c>
      <c r="G51" s="115"/>
      <c r="H51" s="111" t="str">
        <f t="shared" si="15"/>
        <v> </v>
      </c>
      <c r="I51" s="115"/>
      <c r="J51" s="111" t="str">
        <f t="shared" si="17"/>
        <v> </v>
      </c>
      <c r="K51" s="116"/>
      <c r="L51" s="111" t="str">
        <f t="shared" si="16"/>
        <v> </v>
      </c>
      <c r="M51" s="105"/>
      <c r="N51" s="117"/>
      <c r="O51" s="99"/>
    </row>
    <row r="52" spans="1:15" ht="15.75" customHeight="1">
      <c r="A52" s="99"/>
      <c r="B52" s="99"/>
      <c r="C52" s="110"/>
      <c r="D52" s="111" t="str">
        <f t="shared" si="13"/>
        <v> </v>
      </c>
      <c r="E52" s="110"/>
      <c r="F52" s="111" t="str">
        <f t="shared" si="14"/>
        <v> </v>
      </c>
      <c r="G52" s="110"/>
      <c r="H52" s="111" t="str">
        <f t="shared" si="15"/>
        <v> </v>
      </c>
      <c r="I52" s="110"/>
      <c r="J52" s="111" t="str">
        <f t="shared" si="17"/>
        <v> </v>
      </c>
      <c r="K52" s="112"/>
      <c r="L52" s="111" t="str">
        <f t="shared" si="16"/>
        <v> </v>
      </c>
      <c r="M52" s="99"/>
      <c r="N52" s="113"/>
      <c r="O52" s="99"/>
    </row>
    <row r="53" spans="1:15" ht="15.75" customHeight="1" thickBot="1">
      <c r="A53" s="119" t="s">
        <v>99</v>
      </c>
      <c r="B53" s="99"/>
      <c r="C53" s="121">
        <f>+C45-C51-C47</f>
        <v>9.599999999999955</v>
      </c>
      <c r="D53" s="111">
        <f t="shared" si="13"/>
        <v>0.010476918039943202</v>
      </c>
      <c r="E53" s="121">
        <f>+E45-E51-E47</f>
        <v>33.3</v>
      </c>
      <c r="F53" s="111">
        <f t="shared" si="14"/>
        <v>0.03655725107036996</v>
      </c>
      <c r="G53" s="121">
        <f>+G45-G51-G47</f>
        <v>38.999999999999865</v>
      </c>
      <c r="H53" s="111">
        <f t="shared" si="15"/>
        <v>0.03245132301547667</v>
      </c>
      <c r="I53" s="121">
        <f>+I45-I51-I47</f>
        <v>103.2</v>
      </c>
      <c r="J53" s="111">
        <f t="shared" si="17"/>
        <v>0.11426040744021257</v>
      </c>
      <c r="K53" s="121">
        <f>+K45-K51</f>
        <v>0</v>
      </c>
      <c r="L53" s="111" t="str">
        <f t="shared" si="16"/>
        <v> </v>
      </c>
      <c r="M53" s="122"/>
      <c r="N53" s="123"/>
      <c r="O53" s="99"/>
    </row>
    <row r="54" spans="1:15" ht="15.75" customHeight="1" thickTop="1">
      <c r="A54" s="99" t="s">
        <v>100</v>
      </c>
      <c r="B54" s="99"/>
      <c r="C54" s="110"/>
      <c r="D54" s="111" t="str">
        <f t="shared" si="13"/>
        <v> </v>
      </c>
      <c r="E54" s="110"/>
      <c r="F54" s="111" t="str">
        <f t="shared" si="14"/>
        <v> </v>
      </c>
      <c r="G54" s="110"/>
      <c r="H54" s="111" t="str">
        <f t="shared" si="15"/>
        <v> </v>
      </c>
      <c r="I54" s="110"/>
      <c r="J54" s="111" t="str">
        <f t="shared" si="17"/>
        <v> </v>
      </c>
      <c r="K54" s="110" t="s">
        <v>2</v>
      </c>
      <c r="L54" s="111"/>
      <c r="M54" s="99"/>
      <c r="N54" s="113"/>
      <c r="O54" s="99"/>
    </row>
    <row r="55" spans="1:15" ht="15.75" customHeight="1">
      <c r="A55" s="99" t="s">
        <v>101</v>
      </c>
      <c r="B55" s="99"/>
      <c r="C55" s="110">
        <f>+C25</f>
        <v>44.2</v>
      </c>
      <c r="D55" s="111">
        <f aca="true" t="shared" si="18" ref="D55:D68">IF(C55&lt;&gt;0,+C55/$C$11," ")</f>
        <v>0.04823747680890539</v>
      </c>
      <c r="E55" s="110">
        <f>+E25</f>
        <v>41.5</v>
      </c>
      <c r="F55" s="111">
        <f aca="true" t="shared" si="19" ref="F55:F68">IF(E55&lt;&gt;0,+E55/$E$11," ")</f>
        <v>0.04555933691953014</v>
      </c>
      <c r="G55" s="110">
        <f>+G25</f>
        <v>47.1</v>
      </c>
      <c r="H55" s="111">
        <f t="shared" si="15"/>
        <v>0.03919121318022966</v>
      </c>
      <c r="I55" s="110">
        <f>+I25</f>
        <v>34.4</v>
      </c>
      <c r="J55" s="111">
        <f t="shared" si="17"/>
        <v>0.038086802480070854</v>
      </c>
      <c r="K55" s="110">
        <f>+K25</f>
        <v>0</v>
      </c>
      <c r="L55" s="111" t="str">
        <f>IF(K55&lt;&gt;0,+K55/$K$11," ")</f>
        <v> </v>
      </c>
      <c r="M55" s="99"/>
      <c r="N55" s="113"/>
      <c r="O55" s="99"/>
    </row>
    <row r="56" spans="1:15" ht="15.75" customHeight="1">
      <c r="A56" s="99" t="s">
        <v>102</v>
      </c>
      <c r="B56" s="99"/>
      <c r="C56" s="110">
        <f>+C35+C36</f>
        <v>4.6</v>
      </c>
      <c r="D56" s="111">
        <f t="shared" si="18"/>
        <v>0.005020189894139474</v>
      </c>
      <c r="E56" s="110">
        <f>+E35+E36</f>
        <v>11.7</v>
      </c>
      <c r="F56" s="111">
        <f t="shared" si="19"/>
        <v>0.012844439565265122</v>
      </c>
      <c r="G56" s="110">
        <f>+G35+G36</f>
        <v>23.5</v>
      </c>
      <c r="H56" s="111">
        <f aca="true" t="shared" si="20" ref="H56:H68">IF(G56&lt;&gt;0,+G56/$G$11," ")</f>
        <v>0.019554002329838577</v>
      </c>
      <c r="I56" s="110">
        <f>+I35+I36</f>
        <v>0</v>
      </c>
      <c r="J56" s="111" t="str">
        <f aca="true" t="shared" si="21" ref="J56:J68">IF(I56&lt;&gt;0,+I56/$I$11," ")</f>
        <v> </v>
      </c>
      <c r="K56" s="110">
        <f>+K35+K36</f>
        <v>0</v>
      </c>
      <c r="L56" s="111" t="str">
        <f aca="true" t="shared" si="22" ref="L56:L68">IF(K56&lt;&gt;0,+K56/$K$11," ")</f>
        <v> </v>
      </c>
      <c r="M56" s="99"/>
      <c r="N56" s="113"/>
      <c r="O56" s="99"/>
    </row>
    <row r="57" spans="1:15" ht="15.75" customHeight="1">
      <c r="A57" s="99" t="s">
        <v>103</v>
      </c>
      <c r="B57" s="99"/>
      <c r="C57" s="110">
        <f>-C41</f>
        <v>9.2</v>
      </c>
      <c r="D57" s="111">
        <f t="shared" si="18"/>
        <v>0.010040379788278948</v>
      </c>
      <c r="E57" s="110">
        <f>-E41</f>
        <v>11.7</v>
      </c>
      <c r="F57" s="111">
        <f t="shared" si="19"/>
        <v>0.012844439565265122</v>
      </c>
      <c r="G57" s="110">
        <f>-G41</f>
        <v>9.4</v>
      </c>
      <c r="H57" s="111">
        <f t="shared" si="20"/>
        <v>0.007821600931935431</v>
      </c>
      <c r="I57" s="110">
        <f>-I41</f>
        <v>8.8</v>
      </c>
      <c r="J57" s="111">
        <f t="shared" si="21"/>
        <v>0.009743135518157663</v>
      </c>
      <c r="K57" s="110">
        <f>-K41</f>
        <v>0</v>
      </c>
      <c r="L57" s="111" t="str">
        <f t="shared" si="22"/>
        <v> </v>
      </c>
      <c r="M57" s="99"/>
      <c r="N57" s="113"/>
      <c r="O57" s="99"/>
    </row>
    <row r="58" spans="1:15" ht="15.75" customHeight="1">
      <c r="A58" s="99" t="s">
        <v>261</v>
      </c>
      <c r="B58" s="99"/>
      <c r="C58" s="125">
        <f>+C24</f>
        <v>33.8</v>
      </c>
      <c r="D58" s="111">
        <f t="shared" si="18"/>
        <v>0.03688748226563353</v>
      </c>
      <c r="E58" s="125">
        <f>+E24</f>
        <v>0</v>
      </c>
      <c r="F58" s="111" t="str">
        <f t="shared" si="19"/>
        <v> </v>
      </c>
      <c r="G58" s="125">
        <f>+G24</f>
        <v>70.8</v>
      </c>
      <c r="H58" s="111">
        <f t="shared" si="20"/>
        <v>0.05891163255117324</v>
      </c>
      <c r="I58" s="125">
        <f>+I24</f>
        <v>0</v>
      </c>
      <c r="J58" s="111" t="str">
        <f t="shared" si="21"/>
        <v> </v>
      </c>
      <c r="K58" s="125">
        <f>+K24</f>
        <v>0</v>
      </c>
      <c r="L58" s="111" t="str">
        <f t="shared" si="22"/>
        <v> </v>
      </c>
      <c r="M58" s="99"/>
      <c r="N58" s="113"/>
      <c r="O58" s="99"/>
    </row>
    <row r="59" spans="1:15" ht="15.75" customHeight="1">
      <c r="A59" s="99" t="s">
        <v>279</v>
      </c>
      <c r="B59" s="99"/>
      <c r="C59" s="115"/>
      <c r="D59" s="111"/>
      <c r="E59" s="115"/>
      <c r="F59" s="111"/>
      <c r="G59" s="115"/>
      <c r="H59" s="111"/>
      <c r="I59" s="115"/>
      <c r="J59" s="111"/>
      <c r="K59" s="115"/>
      <c r="L59" s="111"/>
      <c r="M59" s="99"/>
      <c r="N59" s="113"/>
      <c r="O59" s="99"/>
    </row>
    <row r="60" spans="1:15" ht="15.75" customHeight="1">
      <c r="A60" s="119" t="s">
        <v>223</v>
      </c>
      <c r="B60" s="99"/>
      <c r="C60" s="124">
        <f>SUM(C53:C59)</f>
        <v>101.39999999999995</v>
      </c>
      <c r="D60" s="111"/>
      <c r="E60" s="124">
        <f>SUM(E53:E59)</f>
        <v>98.2</v>
      </c>
      <c r="F60" s="111"/>
      <c r="G60" s="124">
        <f>SUM(G53:G59)</f>
        <v>189.79999999999987</v>
      </c>
      <c r="H60" s="111"/>
      <c r="I60" s="124">
        <f>SUM(I53:I59)</f>
        <v>146.4</v>
      </c>
      <c r="J60" s="111"/>
      <c r="K60" s="124">
        <f>SUM(K53:K59)</f>
        <v>0</v>
      </c>
      <c r="L60" s="111"/>
      <c r="M60" s="99"/>
      <c r="N60" s="113"/>
      <c r="O60" s="99"/>
    </row>
    <row r="61" spans="1:15" ht="15.75" customHeight="1">
      <c r="A61" s="99" t="s">
        <v>104</v>
      </c>
      <c r="B61" s="99"/>
      <c r="C61" s="110"/>
      <c r="D61" s="111" t="str">
        <f t="shared" si="18"/>
        <v> </v>
      </c>
      <c r="E61" s="110"/>
      <c r="F61" s="111" t="str">
        <f t="shared" si="19"/>
        <v> </v>
      </c>
      <c r="G61" s="110"/>
      <c r="H61" s="111" t="str">
        <f t="shared" si="20"/>
        <v> </v>
      </c>
      <c r="I61" s="110"/>
      <c r="J61" s="111" t="str">
        <f t="shared" si="21"/>
        <v> </v>
      </c>
      <c r="K61" s="110"/>
      <c r="L61" s="111" t="str">
        <f t="shared" si="22"/>
        <v> </v>
      </c>
      <c r="M61" s="99"/>
      <c r="N61" s="113"/>
      <c r="O61" s="99"/>
    </row>
    <row r="62" spans="1:15" ht="15.75" customHeight="1">
      <c r="A62" s="99" t="s">
        <v>105</v>
      </c>
      <c r="B62" s="99"/>
      <c r="C62" s="110">
        <v>36.7</v>
      </c>
      <c r="D62" s="111">
        <f t="shared" si="18"/>
        <v>0.04005238459019972</v>
      </c>
      <c r="E62" s="110">
        <f>+C62</f>
        <v>36.7</v>
      </c>
      <c r="F62" s="111">
        <f t="shared" si="19"/>
        <v>0.040289823251729064</v>
      </c>
      <c r="G62" s="110">
        <f>+C62</f>
        <v>36.7</v>
      </c>
      <c r="H62" s="111">
        <f t="shared" si="20"/>
        <v>0.030537527042769182</v>
      </c>
      <c r="I62" s="110">
        <f>+C62/12*I9</f>
        <v>27.525000000000002</v>
      </c>
      <c r="J62" s="111">
        <f t="shared" si="21"/>
        <v>0.030474977856510186</v>
      </c>
      <c r="K62" s="110">
        <f>+C62</f>
        <v>36.7</v>
      </c>
      <c r="L62" s="111" t="e">
        <f t="shared" si="22"/>
        <v>#DIV/0!</v>
      </c>
      <c r="M62" s="99"/>
      <c r="N62" s="113"/>
      <c r="O62" s="99"/>
    </row>
    <row r="63" spans="1:15" ht="15.75" customHeight="1">
      <c r="A63" s="99" t="s">
        <v>106</v>
      </c>
      <c r="B63" s="99"/>
      <c r="C63" s="110">
        <v>69.6</v>
      </c>
      <c r="D63" s="111">
        <f t="shared" si="18"/>
        <v>0.07595765578958856</v>
      </c>
      <c r="E63" s="110">
        <f>+C63</f>
        <v>69.6</v>
      </c>
      <c r="F63" s="111">
        <f t="shared" si="19"/>
        <v>0.0764079481831156</v>
      </c>
      <c r="G63" s="110">
        <f>+C63</f>
        <v>69.6</v>
      </c>
      <c r="H63" s="111">
        <f t="shared" si="20"/>
        <v>0.05791313030454318</v>
      </c>
      <c r="I63" s="110">
        <f>+C63/12*I9</f>
        <v>52.199999999999996</v>
      </c>
      <c r="J63" s="111">
        <f t="shared" si="21"/>
        <v>0.05779450841452612</v>
      </c>
      <c r="K63" s="110">
        <f>+C63</f>
        <v>69.6</v>
      </c>
      <c r="L63" s="111" t="e">
        <f t="shared" si="22"/>
        <v>#DIV/0!</v>
      </c>
      <c r="M63" s="99"/>
      <c r="N63" s="113"/>
      <c r="O63" s="99"/>
    </row>
    <row r="64" spans="1:15" ht="15.75" customHeight="1">
      <c r="A64" s="99" t="s">
        <v>107</v>
      </c>
      <c r="B64" s="99"/>
      <c r="C64" s="110">
        <v>0</v>
      </c>
      <c r="D64" s="111" t="str">
        <f t="shared" si="18"/>
        <v> </v>
      </c>
      <c r="E64" s="110">
        <v>0</v>
      </c>
      <c r="F64" s="111" t="str">
        <f t="shared" si="19"/>
        <v> </v>
      </c>
      <c r="G64" s="110">
        <v>0</v>
      </c>
      <c r="H64" s="111" t="str">
        <f t="shared" si="20"/>
        <v> </v>
      </c>
      <c r="I64" s="110">
        <v>0</v>
      </c>
      <c r="J64" s="111" t="str">
        <f t="shared" si="21"/>
        <v> </v>
      </c>
      <c r="K64" s="110">
        <f>+C64</f>
        <v>0</v>
      </c>
      <c r="L64" s="111" t="str">
        <f t="shared" si="22"/>
        <v> </v>
      </c>
      <c r="M64" s="99"/>
      <c r="N64" s="113"/>
      <c r="O64" s="99"/>
    </row>
    <row r="65" spans="1:15" ht="15.75" customHeight="1">
      <c r="A65" s="99" t="s">
        <v>239</v>
      </c>
      <c r="B65" s="99"/>
      <c r="C65" s="125">
        <v>77.8</v>
      </c>
      <c r="D65" s="111">
        <f t="shared" si="18"/>
        <v>0.08490668994870676</v>
      </c>
      <c r="E65" s="125">
        <v>77.8</v>
      </c>
      <c r="F65" s="111">
        <f t="shared" si="19"/>
        <v>0.08541003403227578</v>
      </c>
      <c r="G65" s="125">
        <f>+G24</f>
        <v>70.8</v>
      </c>
      <c r="H65" s="111">
        <f t="shared" si="20"/>
        <v>0.05891163255117324</v>
      </c>
      <c r="I65" s="125">
        <v>53.1</v>
      </c>
      <c r="J65" s="111">
        <f t="shared" si="21"/>
        <v>0.05879096545615589</v>
      </c>
      <c r="K65" s="125">
        <f>+K24</f>
        <v>0</v>
      </c>
      <c r="L65" s="111" t="str">
        <f t="shared" si="22"/>
        <v> </v>
      </c>
      <c r="M65" s="99"/>
      <c r="N65" s="113"/>
      <c r="O65" s="99"/>
    </row>
    <row r="66" spans="1:15" ht="15.75" customHeight="1">
      <c r="A66" s="99" t="s">
        <v>240</v>
      </c>
      <c r="B66" s="99"/>
      <c r="C66" s="125">
        <f>-RATIOS!C6</f>
        <v>0</v>
      </c>
      <c r="D66" s="111"/>
      <c r="E66" s="125">
        <f>-RATIOS!D6</f>
        <v>0</v>
      </c>
      <c r="F66" s="111"/>
      <c r="G66" s="125">
        <f>-RATIOS!E6</f>
        <v>0</v>
      </c>
      <c r="H66" s="111"/>
      <c r="I66" s="125">
        <f>-RATIOS!F6</f>
        <v>0</v>
      </c>
      <c r="J66" s="111"/>
      <c r="K66" s="115"/>
      <c r="L66" s="111"/>
      <c r="M66" s="99"/>
      <c r="N66" s="113"/>
      <c r="O66" s="99"/>
    </row>
    <row r="67" spans="1:15" ht="15.75" customHeight="1">
      <c r="A67" s="119" t="s">
        <v>224</v>
      </c>
      <c r="B67" s="99"/>
      <c r="C67" s="126">
        <f>SUM(C62:C66)</f>
        <v>184.1</v>
      </c>
      <c r="D67" s="111"/>
      <c r="E67" s="126">
        <f>SUM(E62:E66)</f>
        <v>184.1</v>
      </c>
      <c r="F67" s="111"/>
      <c r="G67" s="126">
        <f>SUM(G62:G66)</f>
        <v>177.1</v>
      </c>
      <c r="H67" s="111"/>
      <c r="I67" s="126">
        <f>SUM(I62:I66)</f>
        <v>132.825</v>
      </c>
      <c r="J67" s="111"/>
      <c r="K67" s="126">
        <f>SUM(K62:K66)</f>
        <v>106.3</v>
      </c>
      <c r="L67" s="111"/>
      <c r="M67" s="99"/>
      <c r="N67" s="113"/>
      <c r="O67" s="99"/>
    </row>
    <row r="68" spans="1:15" ht="15.75" customHeight="1" thickBot="1">
      <c r="A68" s="119" t="s">
        <v>108</v>
      </c>
      <c r="B68" s="99"/>
      <c r="C68" s="94">
        <f>SUM(C53:C59)-SUM(C62:C66)</f>
        <v>-82.70000000000005</v>
      </c>
      <c r="D68" s="111">
        <f t="shared" si="18"/>
        <v>-0.09025428353159451</v>
      </c>
      <c r="E68" s="94">
        <f>SUM(E53:E59)-SUM(E62:E66)</f>
        <v>-85.89999999999999</v>
      </c>
      <c r="F68" s="111">
        <f t="shared" si="19"/>
        <v>-0.09430233834669008</v>
      </c>
      <c r="G68" s="94">
        <f>SUM(G53:G59)-SUM(G62:G66)</f>
        <v>12.699999999999875</v>
      </c>
      <c r="H68" s="111">
        <f t="shared" si="20"/>
        <v>0.010567482110167977</v>
      </c>
      <c r="I68" s="94">
        <f>SUM(I53:I59)-SUM(I62:I66)</f>
        <v>13.575000000000017</v>
      </c>
      <c r="J68" s="111">
        <f t="shared" si="21"/>
        <v>0.015029893711248911</v>
      </c>
      <c r="K68" s="94">
        <f>SUM(K53:K59)-SUM(K62:K66)</f>
        <v>-106.3</v>
      </c>
      <c r="L68" s="111" t="e">
        <f t="shared" si="22"/>
        <v>#DIV/0!</v>
      </c>
      <c r="M68" s="122"/>
      <c r="N68" s="123"/>
      <c r="O68" s="99"/>
    </row>
    <row r="69" spans="1:15" ht="15.75" customHeight="1" thickTop="1">
      <c r="A69" s="119"/>
      <c r="B69" s="99"/>
      <c r="C69" s="127">
        <v>0</v>
      </c>
      <c r="D69" s="111"/>
      <c r="E69" s="127"/>
      <c r="F69" s="111"/>
      <c r="G69" s="127">
        <v>0</v>
      </c>
      <c r="H69" s="111"/>
      <c r="I69" s="127">
        <v>0</v>
      </c>
      <c r="J69" s="111"/>
      <c r="K69" s="127">
        <v>0</v>
      </c>
      <c r="L69" s="111"/>
      <c r="M69" s="101"/>
      <c r="N69" s="128"/>
      <c r="O69" s="99"/>
    </row>
    <row r="70" spans="1:15" ht="15.75" customHeight="1" thickBot="1">
      <c r="A70" s="119" t="s">
        <v>255</v>
      </c>
      <c r="B70" s="99"/>
      <c r="C70" s="94">
        <f>(SUM(C53:C59)+C69)-SUM(C62:C66)</f>
        <v>-82.70000000000005</v>
      </c>
      <c r="D70" s="111"/>
      <c r="E70" s="94">
        <f>(SUM(E53:E59)+E69)-SUM(E62:E66)</f>
        <v>-85.89999999999999</v>
      </c>
      <c r="F70" s="111"/>
      <c r="G70" s="94">
        <f>(SUM(G53:G59)+G69)-SUM(G62:G66)</f>
        <v>12.699999999999875</v>
      </c>
      <c r="H70" s="111"/>
      <c r="I70" s="94">
        <f>(SUM(I53:I59)+I69)-SUM(I62:I66)</f>
        <v>13.575000000000017</v>
      </c>
      <c r="J70" s="111"/>
      <c r="K70" s="94">
        <f>(SUM(K53:K59)+K69)-SUM(K62:K66)</f>
        <v>-106.3</v>
      </c>
      <c r="L70" s="111"/>
      <c r="M70" s="101"/>
      <c r="N70" s="128"/>
      <c r="O70" s="99"/>
    </row>
    <row r="71" spans="1:15" ht="15.75" customHeight="1" thickTop="1">
      <c r="A71" s="99" t="s">
        <v>225</v>
      </c>
      <c r="B71" s="99"/>
      <c r="C71" s="150">
        <f>+SUM(C60+C69)/C67</f>
        <v>0.5507876154263984</v>
      </c>
      <c r="D71" s="151"/>
      <c r="E71" s="150">
        <f>+SUM(E60+E69)/E67</f>
        <v>0.5334057577403586</v>
      </c>
      <c r="F71" s="151"/>
      <c r="G71" s="150">
        <f>+SUM(G60+G69)/G67</f>
        <v>1.0717108977978536</v>
      </c>
      <c r="H71" s="151"/>
      <c r="I71" s="150">
        <f>+SUM(I60+I69)/I67</f>
        <v>1.1022021456804068</v>
      </c>
      <c r="J71" s="151"/>
      <c r="K71" s="150">
        <f>+SUM(K60+K69)/K67</f>
        <v>0</v>
      </c>
      <c r="L71" s="151"/>
      <c r="M71" s="99"/>
      <c r="N71" s="99"/>
      <c r="O71" s="99"/>
    </row>
    <row r="72" spans="1:15" ht="15.75" customHeight="1">
      <c r="A72" s="31" t="str">
        <f>+'BALANCE SHEET'!B6</f>
        <v>Light Speed Fine Art, Inc. (ONLY)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1:15" ht="15.75" customHeight="1">
      <c r="A73" s="99" t="s">
        <v>2</v>
      </c>
      <c r="B73" s="99"/>
      <c r="C73" s="99" t="s">
        <v>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1:15" ht="15.7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1:15" ht="15.7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1:15" ht="15.75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1:15" ht="15.75" customHeigh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1:15" ht="15.7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1:15" ht="15.75" customHeight="1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1:15" ht="15.75" customHeight="1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</sheetData>
  <printOptions/>
  <pageMargins left="0.5" right="0.5" top="0.5" bottom="0.5" header="0.5" footer="0.5"/>
  <pageSetup fitToHeight="1" fitToWidth="1" horizontalDpi="300" verticalDpi="300" orientation="portrait" scale="71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64"/>
  <sheetViews>
    <sheetView zoomScale="75" zoomScaleNormal="75" workbookViewId="0" topLeftCell="A1">
      <selection activeCell="J37" sqref="J37"/>
    </sheetView>
  </sheetViews>
  <sheetFormatPr defaultColWidth="9.00390625" defaultRowHeight="15"/>
  <cols>
    <col min="1" max="1" width="11.00390625" style="44" customWidth="1"/>
    <col min="2" max="2" width="16.00390625" style="44" customWidth="1"/>
    <col min="3" max="3" width="15.25390625" style="44" customWidth="1"/>
    <col min="4" max="4" width="16.50390625" style="44" customWidth="1"/>
    <col min="5" max="5" width="14.375" style="44" customWidth="1"/>
    <col min="6" max="6" width="14.875" style="44" customWidth="1"/>
    <col min="7" max="7" width="10.75390625" style="44" bestFit="1" customWidth="1"/>
    <col min="8" max="16384" width="9.00390625" style="44" customWidth="1"/>
  </cols>
  <sheetData>
    <row r="1" ht="14.25">
      <c r="A1" s="44" t="str">
        <f>'BALANCE SHEET'!B6</f>
        <v>Light Speed Fine Art, Inc. (ONLY)</v>
      </c>
    </row>
    <row r="2" spans="1:7" ht="15">
      <c r="A2" s="72" t="s">
        <v>109</v>
      </c>
      <c r="B2" s="72"/>
      <c r="C2" s="129">
        <f>+'BALANCE SHEET'!C8</f>
        <v>36891</v>
      </c>
      <c r="D2" s="130">
        <f>+'BALANCE SHEET'!E8</f>
        <v>37256</v>
      </c>
      <c r="E2" s="130">
        <f>+'BALANCE SHEET'!G8</f>
        <v>37621</v>
      </c>
      <c r="F2" s="131">
        <f>+'BALANCE SHEET'!I8</f>
        <v>37894</v>
      </c>
      <c r="G2" s="44" t="s">
        <v>2</v>
      </c>
    </row>
    <row r="3" spans="1:6" ht="14.25">
      <c r="A3" s="72" t="s">
        <v>110</v>
      </c>
      <c r="B3" s="72"/>
      <c r="C3" s="44" t="s">
        <v>16</v>
      </c>
      <c r="D3" s="44" t="s">
        <v>16</v>
      </c>
      <c r="E3" s="44" t="s">
        <v>16</v>
      </c>
      <c r="F3" s="44" t="s">
        <v>16</v>
      </c>
    </row>
    <row r="4" spans="1:6" ht="14.25">
      <c r="A4" s="44" t="s">
        <v>111</v>
      </c>
      <c r="C4" s="132"/>
      <c r="D4" s="132">
        <f>+'BALANCE SHEET'!C69</f>
        <v>-179</v>
      </c>
      <c r="E4" s="132">
        <f>+'BALANCE SHEET'!E69</f>
        <v>-155.7</v>
      </c>
      <c r="F4" s="132">
        <f>+'BALANCE SHEET'!G69</f>
        <v>-121</v>
      </c>
    </row>
    <row r="5" spans="1:6" ht="14.25">
      <c r="A5" s="44" t="s">
        <v>112</v>
      </c>
      <c r="C5" s="133">
        <f>+'INCOME STATEMENT'!C53</f>
        <v>9.599999999999955</v>
      </c>
      <c r="D5" s="133">
        <f>'INCOME STATEMENT'!E53</f>
        <v>33.3</v>
      </c>
      <c r="E5" s="133">
        <f>'INCOME STATEMENT'!G53</f>
        <v>38.999999999999865</v>
      </c>
      <c r="F5" s="133">
        <f>'INCOME STATEMENT'!I53</f>
        <v>103.2</v>
      </c>
    </row>
    <row r="6" spans="1:6" ht="14.25">
      <c r="A6" s="44" t="s">
        <v>113</v>
      </c>
      <c r="C6" s="83">
        <v>0</v>
      </c>
      <c r="D6" s="83">
        <v>0</v>
      </c>
      <c r="E6" s="83">
        <v>0</v>
      </c>
      <c r="F6" s="83">
        <v>0</v>
      </c>
    </row>
    <row r="7" spans="1:6" ht="14.25">
      <c r="A7" s="44" t="s">
        <v>114</v>
      </c>
      <c r="C7" s="89">
        <v>0</v>
      </c>
      <c r="D7" s="89">
        <v>0</v>
      </c>
      <c r="E7" s="89">
        <v>0</v>
      </c>
      <c r="F7" s="89">
        <v>0</v>
      </c>
    </row>
    <row r="8" spans="1:6" ht="14.25">
      <c r="A8" s="44" t="s">
        <v>115</v>
      </c>
      <c r="C8" s="83">
        <f>SUM(C5:C7)</f>
        <v>9.599999999999955</v>
      </c>
      <c r="D8" s="83">
        <f>SUM(D5:D7)</f>
        <v>33.3</v>
      </c>
      <c r="E8" s="83">
        <f>SUM(E5:E7)</f>
        <v>38.999999999999865</v>
      </c>
      <c r="F8" s="83">
        <f>SUM(F5:F7)</f>
        <v>103.2</v>
      </c>
    </row>
    <row r="9" spans="3:6" ht="14.25">
      <c r="C9" s="83"/>
      <c r="D9" s="83"/>
      <c r="E9" s="83"/>
      <c r="F9" s="83"/>
    </row>
    <row r="10" spans="1:6" ht="14.25">
      <c r="A10" s="44" t="s">
        <v>116</v>
      </c>
      <c r="C10" s="83"/>
      <c r="D10" s="83"/>
      <c r="E10" s="83"/>
      <c r="F10" s="83"/>
    </row>
    <row r="11" spans="1:6" ht="14.25">
      <c r="A11" s="44" t="s">
        <v>117</v>
      </c>
      <c r="C11" s="83"/>
      <c r="D11" s="133">
        <f>'BALANCE SHEET'!E63-'BALANCE SHEET'!C63</f>
        <v>0</v>
      </c>
      <c r="E11" s="133">
        <f>'BALANCE SHEET'!G63-'BALANCE SHEET'!E63</f>
        <v>0</v>
      </c>
      <c r="F11" s="133">
        <f>'BALANCE SHEET'!I63-'BALANCE SHEET'!G63</f>
        <v>0</v>
      </c>
    </row>
    <row r="12" spans="1:6" ht="14.25">
      <c r="A12" s="44" t="s">
        <v>118</v>
      </c>
      <c r="C12" s="83"/>
      <c r="D12" s="133">
        <f>'BALANCE SHEET'!E64-'BALANCE SHEET'!C64</f>
        <v>0</v>
      </c>
      <c r="E12" s="133">
        <f>'BALANCE SHEET'!G64-'BALANCE SHEET'!E64</f>
        <v>0</v>
      </c>
      <c r="F12" s="133">
        <f>'BALANCE SHEET'!I64-'BALANCE SHEET'!G64</f>
        <v>0</v>
      </c>
    </row>
    <row r="13" spans="1:6" ht="14.25">
      <c r="A13" s="44" t="s">
        <v>119</v>
      </c>
      <c r="C13" s="83"/>
      <c r="D13" s="133">
        <f>'BALANCE SHEET'!E65-'BALANCE SHEET'!C65</f>
        <v>0</v>
      </c>
      <c r="E13" s="133">
        <f>'BALANCE SHEET'!G65-'BALANCE SHEET'!E65</f>
        <v>0</v>
      </c>
      <c r="F13" s="133">
        <f>'BALANCE SHEET'!I65-'BALANCE SHEET'!G65</f>
        <v>0</v>
      </c>
    </row>
    <row r="14" spans="1:6" ht="14.25">
      <c r="A14" s="44" t="s">
        <v>120</v>
      </c>
      <c r="C14" s="83"/>
      <c r="D14" s="133">
        <f>'BALANCE SHEET'!E67-'BALANCE SHEET'!C67</f>
        <v>0</v>
      </c>
      <c r="E14" s="133">
        <f>'BALANCE SHEET'!G67-'BALANCE SHEET'!E67</f>
        <v>0</v>
      </c>
      <c r="F14" s="133">
        <f>'BALANCE SHEET'!I67-'BALANCE SHEET'!G67</f>
        <v>0</v>
      </c>
    </row>
    <row r="15" spans="1:6" ht="14.25">
      <c r="A15" s="44" t="s">
        <v>121</v>
      </c>
      <c r="C15" s="83"/>
      <c r="D15" s="132">
        <f>'BALANCE SHEET'!E66-'BALANCE SHEET'!C66</f>
        <v>0</v>
      </c>
      <c r="E15" s="132">
        <f>'BALANCE SHEET'!G66-'BALANCE SHEET'!E66</f>
        <v>0</v>
      </c>
      <c r="F15" s="132">
        <f>'BALANCE SHEET'!I66-'BALANCE SHEET'!G66</f>
        <v>0</v>
      </c>
    </row>
    <row r="16" spans="3:6" ht="14.25">
      <c r="C16" s="83"/>
      <c r="D16" s="133"/>
      <c r="E16" s="133"/>
      <c r="F16" s="133"/>
    </row>
    <row r="17" spans="1:6" ht="15" thickBot="1">
      <c r="A17" s="44" t="s">
        <v>122</v>
      </c>
      <c r="C17" s="83"/>
      <c r="D17" s="134">
        <f>+D8+SUM(D11:D15)</f>
        <v>33.3</v>
      </c>
      <c r="E17" s="134">
        <f>+E8+SUM(E11:E15)</f>
        <v>38.999999999999865</v>
      </c>
      <c r="F17" s="134">
        <f>+F8+SUM(F11:F15)</f>
        <v>103.2</v>
      </c>
    </row>
    <row r="18" spans="1:6" ht="15" thickTop="1">
      <c r="A18" s="44" t="s">
        <v>123</v>
      </c>
      <c r="C18" s="83"/>
      <c r="D18" s="133">
        <f>+D4+D17-'BALANCE SHEET'!E69</f>
        <v>10</v>
      </c>
      <c r="E18" s="133">
        <f>+E4+E17-'BALANCE SHEET'!G69</f>
        <v>4.299999999999869</v>
      </c>
      <c r="F18" s="133">
        <f>+F4+F17-'BALANCE SHEET'!I69</f>
        <v>0</v>
      </c>
    </row>
    <row r="19" ht="14.25">
      <c r="F19" s="44" t="s">
        <v>2</v>
      </c>
    </row>
    <row r="20" ht="14.25">
      <c r="F20" s="44" t="s">
        <v>2</v>
      </c>
    </row>
    <row r="21" spans="6:7" ht="14.25">
      <c r="F21" s="44" t="s">
        <v>2</v>
      </c>
      <c r="G21" s="44" t="s">
        <v>2</v>
      </c>
    </row>
    <row r="23" spans="1:10" ht="15">
      <c r="A23" s="72" t="s">
        <v>124</v>
      </c>
      <c r="C23" s="135"/>
      <c r="D23" s="136"/>
      <c r="E23" s="136"/>
      <c r="F23" s="136"/>
      <c r="G23" s="136"/>
      <c r="H23" s="137"/>
      <c r="I23" s="137" t="s">
        <v>13</v>
      </c>
      <c r="J23" s="138"/>
    </row>
    <row r="24" spans="3:10" ht="15">
      <c r="C24" s="139">
        <f>+'BALANCE SHEET'!C8</f>
        <v>36891</v>
      </c>
      <c r="D24" s="140">
        <f>+'BALANCE SHEET'!E8</f>
        <v>37256</v>
      </c>
      <c r="E24" s="140">
        <f>+'BALANCE SHEET'!G8</f>
        <v>37621</v>
      </c>
      <c r="F24" s="140">
        <f>+'BALANCE SHEET'!I8</f>
        <v>37894</v>
      </c>
      <c r="G24" s="141" t="s">
        <v>125</v>
      </c>
      <c r="H24" s="141" t="s">
        <v>126</v>
      </c>
      <c r="I24" s="141" t="s">
        <v>127</v>
      </c>
      <c r="J24" s="142" t="s">
        <v>128</v>
      </c>
    </row>
    <row r="25" spans="1:7" ht="14.25">
      <c r="A25" s="44" t="s">
        <v>129</v>
      </c>
      <c r="C25" s="143" t="s">
        <v>130</v>
      </c>
      <c r="D25" s="45">
        <f>('INCOME STATEMENT'!E11-'INCOME STATEMENT'!C11)/'INCOME STATEMENT'!C11</f>
        <v>-0.0058932663974680536</v>
      </c>
      <c r="E25" s="45">
        <f>('INCOME STATEMENT'!G11-'INCOME STATEMENT'!E11)/'INCOME STATEMENT'!E11</f>
        <v>0.3193544845756944</v>
      </c>
      <c r="F25" s="45">
        <f>(('INCOME STATEMENT'!I11/'INCOME STATEMENT'!I9*12)-'INCOME STATEMENT'!G11)/'INCOME STATEMENT'!G11</f>
        <v>0.0020524768402951383</v>
      </c>
      <c r="G25" s="45">
        <f>('INCOME STATEMENT'!K11-('INCOME STATEMENT'!I11/'INCOME STATEMENT'!I9*12))/('INCOME STATEMENT'!I11/'INCOME STATEMENT'!I9*12)</f>
        <v>-1</v>
      </c>
    </row>
    <row r="26" spans="1:7" ht="14.25">
      <c r="A26" s="44" t="s">
        <v>131</v>
      </c>
      <c r="C26" s="45">
        <f>+'INCOME STATEMENT'!D13</f>
        <v>0.7122121575903088</v>
      </c>
      <c r="D26" s="45">
        <f>+'INCOME STATEMENT'!F13</f>
        <v>0.7914150839828741</v>
      </c>
      <c r="E26" s="45">
        <f>+'INCOME STATEMENT'!H13</f>
        <v>0.6355466799800299</v>
      </c>
      <c r="F26" s="45">
        <f>+'INCOME STATEMENT'!J13</f>
        <v>0.7010628875110717</v>
      </c>
      <c r="G26" s="45" t="str">
        <f>+'INCOME STATEMENT'!L13</f>
        <v> </v>
      </c>
    </row>
    <row r="27" spans="1:7" ht="14.25">
      <c r="A27" s="44" t="s">
        <v>132</v>
      </c>
      <c r="C27" s="45">
        <f>'INCOME STATEMENT'!D53</f>
        <v>0.010476918039943202</v>
      </c>
      <c r="D27" s="45">
        <f>'INCOME STATEMENT'!F53</f>
        <v>0.03655725107036996</v>
      </c>
      <c r="E27" s="45">
        <f>'INCOME STATEMENT'!H53</f>
        <v>0.03245132301547667</v>
      </c>
      <c r="F27" s="45">
        <f>'INCOME STATEMENT'!J53</f>
        <v>0.11426040744021257</v>
      </c>
      <c r="G27" s="45" t="str">
        <f>'INCOME STATEMENT'!L53</f>
        <v> </v>
      </c>
    </row>
    <row r="28" spans="1:10" ht="14.25">
      <c r="A28" s="44" t="s">
        <v>133</v>
      </c>
      <c r="C28" s="45">
        <f>'INCOME STATEMENT'!C53/(RATIOS!C37)</f>
        <v>-0.03658536585365837</v>
      </c>
      <c r="D28" s="45">
        <f>'INCOME STATEMENT'!E53/(RATIOS!D37)</f>
        <v>-0.13927227101631115</v>
      </c>
      <c r="E28" s="45">
        <f>'INCOME STATEMENT'!G53/(RATIOS!E37)</f>
        <v>-0.19080234833659424</v>
      </c>
      <c r="F28" s="45">
        <f>'INCOME STATEMENT'!I53/(RATIOS!F37)</f>
        <v>-1.0197628458498025</v>
      </c>
      <c r="G28" s="45">
        <f>'INCOME STATEMENT'!K53/(RATIOS!G37)</f>
        <v>0</v>
      </c>
      <c r="H28" s="83"/>
      <c r="I28" s="83"/>
      <c r="J28" s="83"/>
    </row>
    <row r="29" spans="1:10" ht="14.25">
      <c r="A29" s="44" t="s">
        <v>134</v>
      </c>
      <c r="C29" s="90">
        <f>'INCOME STATEMENT'!C11/'BALANCE SHEET'!C40</f>
        <v>1.0265516468743</v>
      </c>
      <c r="D29" s="90">
        <f>'INCOME STATEMENT'!E11/'BALANCE SHEET'!E40</f>
        <v>0.7792796646419712</v>
      </c>
      <c r="E29" s="90">
        <f>'INCOME STATEMENT'!G11/'BALANCE SHEET'!G40</f>
        <v>0.5135239071913857</v>
      </c>
      <c r="F29" s="90">
        <f>('INCOME STATEMENT'!I11/'INCOME STATEMENT'!I9*12)/'BALANCE SHEET'!I40</f>
        <v>0.5155030463878544</v>
      </c>
      <c r="G29" s="90">
        <f>'INCOME STATEMENT'!K11/'BALANCE SHEET'!O40</f>
        <v>0</v>
      </c>
      <c r="H29" s="83"/>
      <c r="I29" s="83"/>
      <c r="J29" s="83"/>
    </row>
    <row r="30" spans="1:10" ht="14.25">
      <c r="A30" s="44" t="s">
        <v>135</v>
      </c>
      <c r="C30" s="90">
        <f>'BALANCE SHEET'!C21/'BALANCE SHEET'!C53</f>
        <v>0.7160741590214066</v>
      </c>
      <c r="D30" s="90">
        <f>'BALANCE SHEET'!E21/'BALANCE SHEET'!E53</f>
        <v>0.7804933934163292</v>
      </c>
      <c r="E30" s="90">
        <f>'BALANCE SHEET'!G21/'BALANCE SHEET'!G53</f>
        <v>0.7971985134969576</v>
      </c>
      <c r="F30" s="90">
        <f>'BALANCE SHEET'!I21/'BALANCE SHEET'!I53</f>
        <v>1.0255315154644011</v>
      </c>
      <c r="G30" s="90">
        <f>'BALANCE SHEET'!O21/'BALANCE SHEET'!O53</f>
        <v>1.0148622915795826</v>
      </c>
      <c r="H30" s="83">
        <v>2.9</v>
      </c>
      <c r="I30" s="83">
        <v>1.8</v>
      </c>
      <c r="J30" s="83">
        <v>1.2</v>
      </c>
    </row>
    <row r="31" spans="1:10" ht="14.25">
      <c r="A31" s="44" t="s">
        <v>136</v>
      </c>
      <c r="C31" s="90">
        <f>('BALANCE SHEET'!C14+'BALANCE SHEET'!C17)/'BALANCE SHEET'!C53</f>
        <v>0.14564220183486237</v>
      </c>
      <c r="D31" s="90">
        <f>('BALANCE SHEET'!E14+'BALANCE SHEET'!E17)/'BALANCE SHEET'!E53</f>
        <v>0.22309631100588098</v>
      </c>
      <c r="E31" s="90">
        <f>('BALANCE SHEET'!G14+'BALANCE SHEET'!G17)/'BALANCE SHEET'!G53</f>
        <v>0.44439906889369873</v>
      </c>
      <c r="F31" s="90">
        <f>('BALANCE SHEET'!I14+'BALANCE SHEET'!I17)/'BALANCE SHEET'!I53</f>
        <v>0.6112545172947856</v>
      </c>
      <c r="G31" s="90">
        <f>('BALANCE SHEET'!O17+'BALANCE SHEET'!O14)/'BALANCE SHEET'!O53</f>
        <v>0.604895267289025</v>
      </c>
      <c r="H31" s="83">
        <v>1.3</v>
      </c>
      <c r="I31" s="83">
        <v>0.6</v>
      </c>
      <c r="J31" s="83">
        <v>0.2</v>
      </c>
    </row>
    <row r="32" spans="1:7" ht="14.25">
      <c r="A32" s="44" t="s">
        <v>137</v>
      </c>
      <c r="C32" s="83">
        <f>'BALANCE SHEET'!C21-'BALANCE SHEET'!C53</f>
        <v>-297.10000000000014</v>
      </c>
      <c r="D32" s="83">
        <f>'BALANCE SHEET'!E21-'BALANCE SHEET'!E53</f>
        <v>-287.4000000000002</v>
      </c>
      <c r="E32" s="83">
        <f>'BALANCE SHEET'!G21-'BALANCE SHEET'!G53</f>
        <v>-496.5999999999999</v>
      </c>
      <c r="F32" s="83">
        <f>'BALANCE SHEET'!I21-'BALANCE SHEET'!I53</f>
        <v>54.399999999999636</v>
      </c>
      <c r="G32" s="83">
        <f>'BALANCE SHEET'!O21-'BALANCE SHEET'!O53</f>
        <v>31.999999999999545</v>
      </c>
    </row>
    <row r="33" spans="1:10" ht="14.25">
      <c r="A33" s="44" t="s">
        <v>138</v>
      </c>
      <c r="C33" s="144">
        <f>365*'BALANCE SHEET'!C17/'INCOME STATEMENT'!C11</f>
        <v>52.97937356760887</v>
      </c>
      <c r="D33" s="144">
        <f>365*'BALANCE SHEET'!E17/'INCOME STATEMENT'!E11</f>
        <v>106.22625974311123</v>
      </c>
      <c r="E33" s="144">
        <f>365*'BALANCE SHEET'!G17/'INCOME STATEMENT'!G11</f>
        <v>323.3915792977201</v>
      </c>
      <c r="F33" s="144">
        <f>365*'BALANCE SHEET'!I17/('INCOME STATEMENT'!I11/'INCOME STATEMENT'!I9*12)</f>
        <v>389.7118578387954</v>
      </c>
      <c r="G33" s="144" t="e">
        <f>365*'BALANCE SHEET'!O17/'INCOME STATEMENT'!K11</f>
        <v>#DIV/0!</v>
      </c>
      <c r="H33" s="44">
        <v>0</v>
      </c>
      <c r="I33" s="44">
        <v>9</v>
      </c>
      <c r="J33" s="44">
        <v>29</v>
      </c>
    </row>
    <row r="34" spans="1:10" ht="14.25">
      <c r="A34" s="44" t="s">
        <v>139</v>
      </c>
      <c r="C34" s="144">
        <f>IF('INCOME STATEMENT'!C12=0,365*'BALANCE SHEET'!C47/'INCOME STATEMENT'!C12,365*'BALANCE SHEET'!C47/'INCOME STATEMENT'!C12)</f>
        <v>130.52521805081534</v>
      </c>
      <c r="D34" s="144">
        <f>IF('INCOME STATEMENT'!E12=0,365*'BALANCE SHEET'!E47/'INCOME STATEMENT'!E12,365*'BALANCE SHEET'!E47/'INCOME STATEMENT'!E12)</f>
        <v>108.92368421052632</v>
      </c>
      <c r="E34" s="144">
        <f>IF('INCOME STATEMENT'!G12=0,365*'BALANCE SHEET'!G47/'INCOME STATEMENT'!G12,365*'BALANCE SHEET'!G47/'INCOME STATEMENT'!G12)</f>
        <v>63.083333333333336</v>
      </c>
      <c r="F34" s="144">
        <f>IF('INCOME STATEMENT'!I12=0,365*'BALANCE SHEET'!I47/('INCOME STATEMENT'!I12/'INCOME STATEMENT'!I9*12),365*'BALANCE SHEET'!I47/('INCOME STATEMENT'!I12/'INCOME STATEMENT'!I9*12))</f>
        <v>31.227777777777778</v>
      </c>
      <c r="G34" s="144" t="e">
        <f>IF('INCOME STATEMENT'!K12=0,365*'BALANCE SHEET'!O47/'INCOME STATEMENT'!K12,365*'BALANCE SHEET'!O47/'INCOME STATEMENT'!K12)</f>
        <v>#DIV/0!</v>
      </c>
      <c r="H34" s="44">
        <v>10</v>
      </c>
      <c r="I34" s="44">
        <v>30</v>
      </c>
      <c r="J34" s="44">
        <v>66</v>
      </c>
    </row>
    <row r="35" spans="1:10" ht="14.25">
      <c r="A35" s="44" t="s">
        <v>140</v>
      </c>
      <c r="C35" s="144">
        <f>IF('INCOME STATEMENT'!C12=0,365*'BALANCE SHEET'!C19/'INCOME STATEMENT'!C12,365*'BALANCE SHEET'!C19/'INCOME STATEMENT'!C12)</f>
        <v>826.1983314372393</v>
      </c>
      <c r="D35" s="144">
        <f>IF('INCOME STATEMENT'!E12=0,365*'BALANCE SHEET'!E19/'INCOME STATEMENT'!E12,365*'BALANCE SHEET'!E19/'INCOME STATEMENT'!E12)</f>
        <v>1401.9842105263158</v>
      </c>
      <c r="E35" s="144">
        <f>IF('INCOME STATEMENT'!G12=0,365*'BALANCE SHEET'!G19/'INCOME STATEMENT'!G12,365*'BALANCE SHEET'!G19/'INCOME STATEMENT'!G12)</f>
        <v>719.9166666666666</v>
      </c>
      <c r="F35" s="144">
        <f>IF('INCOME STATEMENT'!I12=0,365*'BALANCE SHEET'!I19/('INCOME STATEMENT'!I12/'INCOME STATEMENT'!I9*12),365*'BALANCE SHEET'!I19/('INCOME STATEMENT'!I12/'INCOME STATEMENT'!I9*12))</f>
        <v>894.9597222222222</v>
      </c>
      <c r="G35" s="144" t="e">
        <f>IF('INCOME STATEMENT'!K12=0,365*'BALANCE SHEET'!O19/'INCOME STATEMENT'!K12,365*'BALANCE SHEET'!O19/'INCOME STATEMENT'!K12)</f>
        <v>#DIV/0!</v>
      </c>
      <c r="H35" s="44">
        <v>40</v>
      </c>
      <c r="I35" s="44">
        <v>80</v>
      </c>
      <c r="J35" s="44">
        <v>169</v>
      </c>
    </row>
    <row r="36" spans="1:7" ht="14.25">
      <c r="A36" s="44" t="s">
        <v>220</v>
      </c>
      <c r="C36" s="144">
        <f>+C33+C35-C34</f>
        <v>748.6524869540328</v>
      </c>
      <c r="D36" s="144">
        <f>+D33+D35-D34</f>
        <v>1399.2867860589008</v>
      </c>
      <c r="E36" s="144">
        <f>+E33+E35-E34</f>
        <v>980.2249126310534</v>
      </c>
      <c r="F36" s="144">
        <f>+F33+F35-F34</f>
        <v>1253.4438022832398</v>
      </c>
      <c r="G36" s="144" t="e">
        <f>+G33+G35-G34</f>
        <v>#DIV/0!</v>
      </c>
    </row>
    <row r="37" spans="1:7" ht="14.25">
      <c r="A37" s="44" t="s">
        <v>141</v>
      </c>
      <c r="C37" s="83">
        <f>'BALANCE SHEET'!C69-'BALANCE SHEET'!C38-'BALANCE SHEET'!C39</f>
        <v>-262.4</v>
      </c>
      <c r="D37" s="83">
        <f>'BALANCE SHEET'!E69-'BALANCE SHEET'!E38-'BALANCE SHEET'!E39</f>
        <v>-239.1</v>
      </c>
      <c r="E37" s="83">
        <f>'BALANCE SHEET'!G69-'BALANCE SHEET'!G38-'BALANCE SHEET'!G39</f>
        <v>-204.4</v>
      </c>
      <c r="F37" s="83">
        <f>'BALANCE SHEET'!I69-'BALANCE SHEET'!I38-'BALANCE SHEET'!I39</f>
        <v>-101.2</v>
      </c>
      <c r="G37" s="83">
        <f>'BALANCE SHEET'!O69-'BALANCE SHEET'!O38-'BALANCE SHEET'!O39</f>
        <v>216.8</v>
      </c>
    </row>
    <row r="38" spans="1:10" ht="14.25">
      <c r="A38" s="44" t="s">
        <v>142</v>
      </c>
      <c r="C38" s="90">
        <f>'BALANCE SHEET'!C62/RATIOS!C37</f>
        <v>-4.083841463414635</v>
      </c>
      <c r="D38" s="90">
        <f>'BALANCE SHEET'!E62/RATIOS!D37</f>
        <v>-5.539941447093267</v>
      </c>
      <c r="E38" s="90">
        <f>'BALANCE SHEET'!G62/RATIOS!E37</f>
        <v>-12.041585127201564</v>
      </c>
      <c r="F38" s="90">
        <f>'BALANCE SHEET'!I62/RATIOS!F37</f>
        <v>-23.259881422924902</v>
      </c>
      <c r="G38" s="90">
        <f>'BALANCE SHEET'!O62/RATIOS!G37</f>
        <v>15.290129151291513</v>
      </c>
      <c r="H38" s="83">
        <v>0.8</v>
      </c>
      <c r="I38" s="83">
        <v>1.9</v>
      </c>
      <c r="J38" s="83">
        <v>6.6</v>
      </c>
    </row>
    <row r="39" spans="1:7" ht="14.25">
      <c r="A39" s="44" t="s">
        <v>143</v>
      </c>
      <c r="C39" s="90">
        <f>+('BALANCE SHEET'!C62-'BALANCE SHEET'!C61)/(RATIOS!C37+'BALANCE SHEET'!C61)</f>
        <v>-4.083841463414635</v>
      </c>
      <c r="D39" s="90">
        <f>+('BALANCE SHEET'!E62-'BALANCE SHEET'!E61)/(RATIOS!D37+'BALANCE SHEET'!E61)</f>
        <v>-5.539941447093267</v>
      </c>
      <c r="E39" s="90">
        <f>+('BALANCE SHEET'!G62-'BALANCE SHEET'!G61)/(RATIOS!E37+'BALANCE SHEET'!G61)</f>
        <v>-12.041585127201564</v>
      </c>
      <c r="F39" s="90">
        <f>+('BALANCE SHEET'!I62-'BALANCE SHEET'!I61)/(RATIOS!F37+'BALANCE SHEET'!I61)</f>
        <v>-23.259881422924902</v>
      </c>
      <c r="G39" s="90">
        <f>+('BALANCE SHEET'!O62-'BALANCE SHEET'!O61)/(RATIOS!G37+'BALANCE SHEET'!O61)</f>
        <v>15.290129151291513</v>
      </c>
    </row>
    <row r="40" spans="1:7" ht="14.25" hidden="1">
      <c r="A40" s="44" t="s">
        <v>144</v>
      </c>
      <c r="C40" s="90">
        <f>(SUM('INCOME STATEMENT'!C53:C58)+'INCOME STATEMENT'!C69)/SUM('INCOME STATEMENT'!C62:C66)</f>
        <v>0.5507876154263984</v>
      </c>
      <c r="D40" s="90">
        <f>(SUM('INCOME STATEMENT'!E53:E58)+'INCOME STATEMENT'!E69)/SUM('INCOME STATEMENT'!E62:E66)</f>
        <v>0.5334057577403586</v>
      </c>
      <c r="E40" s="90">
        <f>(SUM('INCOME STATEMENT'!G53:G58)+'INCOME STATEMENT'!G69)/SUM('INCOME STATEMENT'!G62:G66)</f>
        <v>1.0717108977978536</v>
      </c>
      <c r="F40" s="90">
        <f>(SUM('INCOME STATEMENT'!I53:I58)+'INCOME STATEMENT'!I69)/SUM('INCOME STATEMENT'!I62:I66)</f>
        <v>1.1022021456804068</v>
      </c>
      <c r="G40" s="90">
        <f>(SUM('INCOME STATEMENT'!K53:K58)+'INCOME STATEMENT'!K69)/SUM('INCOME STATEMENT'!K62:K66)</f>
        <v>0</v>
      </c>
    </row>
    <row r="41" spans="1:7" ht="14.25" hidden="1">
      <c r="A41" s="44" t="s">
        <v>145</v>
      </c>
      <c r="C41" s="145">
        <f>('INCOME STATEMENT'!C37+'INCOME STATEMENT'!C41)/'INCOME STATEMENT'!D13</f>
        <v>876.9858718970272</v>
      </c>
      <c r="D41" s="145">
        <f>('INCOME STATEMENT'!E37+'INCOME STATEMENT'!E41)/'INCOME STATEMENT'!F13</f>
        <v>839.2561797752808</v>
      </c>
      <c r="E41" s="145">
        <f>('INCOME STATEMENT'!G37+'INCOME STATEMENT'!G41)/'INCOME STATEMENT'!H13</f>
        <v>1110.8546739984292</v>
      </c>
      <c r="F41" s="145">
        <f>('INCOME STATEMENT'!I37+'INCOME STATEMENT'!I41)/'INCOME STATEMENT'!J13</f>
        <v>730.8902084649402</v>
      </c>
      <c r="G41" s="145" t="e">
        <f>('INCOME STATEMENT'!K37+'INCOME STATEMENT'!K41)/'INCOME STATEMENT'!L13</f>
        <v>#VALUE!</v>
      </c>
    </row>
    <row r="43" spans="3:6" ht="14.25">
      <c r="C43" s="152">
        <v>504</v>
      </c>
      <c r="D43" s="152" t="s">
        <v>228</v>
      </c>
      <c r="E43" s="44" t="s">
        <v>235</v>
      </c>
      <c r="F43" s="44" t="s">
        <v>265</v>
      </c>
    </row>
    <row r="44" spans="1:6" ht="14.25">
      <c r="A44" s="44" t="s">
        <v>146</v>
      </c>
      <c r="C44" s="153">
        <v>167415</v>
      </c>
      <c r="D44" s="153">
        <v>1076000</v>
      </c>
      <c r="E44" s="153">
        <v>472000</v>
      </c>
      <c r="F44" s="153">
        <f>SUM(C44:E44)</f>
        <v>1715415</v>
      </c>
    </row>
    <row r="45" spans="1:4" ht="14.25">
      <c r="A45" s="44" t="s">
        <v>147</v>
      </c>
      <c r="C45" s="154">
        <v>0.0706</v>
      </c>
      <c r="D45" s="154">
        <v>0.08</v>
      </c>
    </row>
    <row r="46" spans="1:4" ht="14.25">
      <c r="A46" s="44" t="s">
        <v>148</v>
      </c>
      <c r="C46" s="44">
        <v>20</v>
      </c>
      <c r="D46" s="44">
        <v>25</v>
      </c>
    </row>
    <row r="47" spans="1:4" ht="14.25">
      <c r="A47" s="44" t="s">
        <v>149</v>
      </c>
      <c r="C47" s="44">
        <v>12</v>
      </c>
      <c r="D47" s="44">
        <v>12</v>
      </c>
    </row>
    <row r="48" spans="1:4" ht="14.25">
      <c r="A48" s="44" t="s">
        <v>150</v>
      </c>
      <c r="C48" s="155">
        <f>PMT(+C45/12,+C46*12,+C63)-(C63*0.0041)/12-(C63*0.00625)/12-(C63*0.001)/12</f>
        <v>-1519.868898304847</v>
      </c>
      <c r="D48" s="155">
        <f>PMT(+D45/12,+D46*12,+D44)</f>
        <v>-8304.742520453534</v>
      </c>
    </row>
    <row r="49" spans="3:4" ht="14.25">
      <c r="C49" s="155"/>
      <c r="D49" s="155"/>
    </row>
    <row r="50" spans="1:4" ht="14.25">
      <c r="A50" s="44" t="s">
        <v>151</v>
      </c>
      <c r="C50" s="155">
        <f>-C48*12</f>
        <v>18238.426779658166</v>
      </c>
      <c r="D50" s="155">
        <f>-D48*12</f>
        <v>99656.91024544241</v>
      </c>
    </row>
    <row r="51" ht="14.25">
      <c r="A51" s="44" t="s">
        <v>152</v>
      </c>
    </row>
    <row r="53" ht="14.25">
      <c r="A53" s="44" t="s">
        <v>153</v>
      </c>
    </row>
    <row r="54" spans="1:3" ht="14.25">
      <c r="A54" s="44" t="s">
        <v>154</v>
      </c>
      <c r="C54" s="156">
        <f>+C44</f>
        <v>167415</v>
      </c>
    </row>
    <row r="55" spans="1:4" ht="14.25">
      <c r="A55" s="44" t="s">
        <v>155</v>
      </c>
      <c r="C55" s="156">
        <f>C54*0.005</f>
        <v>837.075</v>
      </c>
      <c r="D55" s="44" t="s">
        <v>156</v>
      </c>
    </row>
    <row r="56" spans="1:4" ht="14.25">
      <c r="A56" s="44" t="s">
        <v>157</v>
      </c>
      <c r="C56" s="156">
        <f>C54*0.015</f>
        <v>2511.225</v>
      </c>
      <c r="D56" s="44" t="s">
        <v>158</v>
      </c>
    </row>
    <row r="57" spans="1:4" ht="14.25">
      <c r="A57" s="44" t="s">
        <v>159</v>
      </c>
      <c r="C57" s="156">
        <v>0</v>
      </c>
      <c r="D57" s="44" t="s">
        <v>160</v>
      </c>
    </row>
    <row r="58" spans="1:4" ht="14.25">
      <c r="A58" s="44" t="s">
        <v>161</v>
      </c>
      <c r="C58" s="156">
        <f>C54*0.0025</f>
        <v>418.5375</v>
      </c>
      <c r="D58" s="44" t="s">
        <v>160</v>
      </c>
    </row>
    <row r="59" spans="1:3" ht="14.25">
      <c r="A59" s="44" t="s">
        <v>162</v>
      </c>
      <c r="C59" s="156">
        <v>1100</v>
      </c>
    </row>
    <row r="60" spans="1:4" ht="14.25">
      <c r="A60" s="44" t="s">
        <v>163</v>
      </c>
      <c r="C60" s="156">
        <f>SUM(C54:C59)</f>
        <v>172281.83750000002</v>
      </c>
      <c r="D60" s="44" t="s">
        <v>164</v>
      </c>
    </row>
    <row r="61" spans="1:4" ht="14.25">
      <c r="A61" s="44" t="s">
        <v>165</v>
      </c>
      <c r="C61" s="156">
        <f>(TRUNC(C60/0.995/1000)+1)*1000*0.005</f>
        <v>870</v>
      </c>
      <c r="D61" s="44" t="s">
        <v>166</v>
      </c>
    </row>
    <row r="62" spans="1:4" ht="14.25">
      <c r="A62" s="44" t="s">
        <v>167</v>
      </c>
      <c r="C62" s="156"/>
      <c r="D62" s="155">
        <f>+C60+C61</f>
        <v>173151.83750000002</v>
      </c>
    </row>
    <row r="63" spans="1:3" ht="14.25">
      <c r="A63" s="44" t="s">
        <v>168</v>
      </c>
      <c r="C63" s="156">
        <f>(TRUNC(SUM(C60:C61)/1000+1))*1000</f>
        <v>174000</v>
      </c>
    </row>
    <row r="64" spans="1:3" ht="14.25">
      <c r="A64" s="44" t="s">
        <v>169</v>
      </c>
      <c r="C64" s="156">
        <f>D62-C63</f>
        <v>-848.1624999999767</v>
      </c>
    </row>
  </sheetData>
  <printOptions/>
  <pageMargins left="0.75" right="0.75" top="1" bottom="1" header="0.5" footer="0.5"/>
  <pageSetup fitToHeight="1" fitToWidth="1" horizontalDpi="300" verticalDpi="300" orientation="portrait" scale="66" r:id="rId1"/>
  <headerFooter alignWithMargins="0">
    <oddHeader>&amp;CLight Speed Fine Art, Inc. (ONLY)
Ratios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2" sqref="A2:I10"/>
    </sheetView>
  </sheetViews>
  <sheetFormatPr defaultColWidth="9.00390625" defaultRowHeight="15"/>
  <cols>
    <col min="1" max="1" width="20.00390625" style="30" customWidth="1"/>
    <col min="2" max="2" width="1.37890625" style="30" customWidth="1"/>
    <col min="3" max="3" width="14.25390625" style="41" customWidth="1"/>
    <col min="4" max="4" width="1.37890625" style="41" customWidth="1"/>
    <col min="5" max="5" width="13.875" style="41" customWidth="1"/>
    <col min="6" max="6" width="1.25" style="30" customWidth="1"/>
    <col min="7" max="7" width="9.00390625" style="42" customWidth="1"/>
    <col min="8" max="8" width="1.00390625" style="30" customWidth="1"/>
    <col min="9" max="9" width="20.375" style="30" customWidth="1"/>
    <col min="10" max="16384" width="9.00390625" style="30" customWidth="1"/>
  </cols>
  <sheetData>
    <row r="1" spans="3:7" ht="12.75">
      <c r="C1" s="30"/>
      <c r="D1" s="30"/>
      <c r="E1" s="30"/>
      <c r="G1" s="30"/>
    </row>
    <row r="2" spans="1:9" ht="12.75">
      <c r="A2" s="28" t="s">
        <v>263</v>
      </c>
      <c r="B2" s="29"/>
      <c r="C2" s="32"/>
      <c r="D2" s="32"/>
      <c r="E2" s="32"/>
      <c r="F2" s="32"/>
      <c r="G2" s="32"/>
      <c r="H2" s="32"/>
      <c r="I2" s="33"/>
    </row>
    <row r="3" spans="1:9" ht="12.75">
      <c r="A3" s="24" t="s">
        <v>256</v>
      </c>
      <c r="B3" s="27"/>
      <c r="C3" s="25" t="s">
        <v>257</v>
      </c>
      <c r="D3" s="27"/>
      <c r="E3" s="25" t="s">
        <v>258</v>
      </c>
      <c r="F3" s="27"/>
      <c r="G3" s="25" t="s">
        <v>259</v>
      </c>
      <c r="H3" s="27"/>
      <c r="I3" s="26" t="s">
        <v>260</v>
      </c>
    </row>
    <row r="4" spans="1:9" ht="12.75">
      <c r="A4" s="37"/>
      <c r="B4" s="34"/>
      <c r="C4" s="35"/>
      <c r="D4" s="34"/>
      <c r="E4" s="35"/>
      <c r="F4" s="34"/>
      <c r="G4" s="35"/>
      <c r="H4" s="34"/>
      <c r="I4" s="36"/>
    </row>
    <row r="5" spans="1:9" ht="12.75">
      <c r="A5" s="24"/>
      <c r="B5" s="27"/>
      <c r="C5" s="38"/>
      <c r="D5" s="39"/>
      <c r="E5" s="38"/>
      <c r="F5" s="27"/>
      <c r="G5" s="40"/>
      <c r="H5" s="27"/>
      <c r="I5" s="26"/>
    </row>
    <row r="6" spans="1:9" ht="12.75">
      <c r="A6" s="24"/>
      <c r="B6" s="27"/>
      <c r="C6" s="38"/>
      <c r="D6" s="39"/>
      <c r="E6" s="38"/>
      <c r="F6" s="27"/>
      <c r="G6" s="40"/>
      <c r="H6" s="27"/>
      <c r="I6" s="26"/>
    </row>
    <row r="7" spans="1:9" ht="12.75">
      <c r="A7" s="24"/>
      <c r="B7" s="27"/>
      <c r="C7" s="38"/>
      <c r="D7" s="39"/>
      <c r="E7" s="38"/>
      <c r="F7" s="27"/>
      <c r="G7" s="40"/>
      <c r="H7" s="27"/>
      <c r="I7" s="26"/>
    </row>
    <row r="8" spans="1:9" ht="12.75">
      <c r="A8" s="24"/>
      <c r="B8" s="27"/>
      <c r="C8" s="38"/>
      <c r="D8" s="39"/>
      <c r="E8" s="38"/>
      <c r="F8" s="27"/>
      <c r="G8" s="40"/>
      <c r="H8" s="27"/>
      <c r="I8" s="26"/>
    </row>
    <row r="9" spans="1:9" ht="12.75">
      <c r="A9" s="24"/>
      <c r="B9" s="27"/>
      <c r="C9" s="38"/>
      <c r="D9" s="39"/>
      <c r="E9" s="38"/>
      <c r="F9" s="27"/>
      <c r="G9" s="40"/>
      <c r="H9" s="27"/>
      <c r="I9" s="26"/>
    </row>
    <row r="10" spans="1:9" ht="12.75">
      <c r="A10" s="24"/>
      <c r="B10" s="27"/>
      <c r="C10" s="38"/>
      <c r="D10" s="39"/>
      <c r="E10" s="38"/>
      <c r="F10" s="27"/>
      <c r="G10" s="40"/>
      <c r="H10" s="27"/>
      <c r="I10" s="26"/>
    </row>
    <row r="11" spans="1:9" ht="12.75" hidden="1">
      <c r="A11" s="24"/>
      <c r="B11" s="27"/>
      <c r="C11" s="38"/>
      <c r="D11" s="39"/>
      <c r="E11" s="38"/>
      <c r="F11" s="27"/>
      <c r="G11" s="40"/>
      <c r="H11" s="27"/>
      <c r="I11" s="26"/>
    </row>
    <row r="12" spans="1:9" ht="12.75" hidden="1">
      <c r="A12" s="24"/>
      <c r="B12" s="27"/>
      <c r="C12" s="38"/>
      <c r="D12" s="39"/>
      <c r="E12" s="38"/>
      <c r="F12" s="27"/>
      <c r="G12" s="40"/>
      <c r="H12" s="27"/>
      <c r="I12" s="26"/>
    </row>
    <row r="13" spans="1:9" ht="12.75" hidden="1">
      <c r="A13" s="24"/>
      <c r="B13" s="27"/>
      <c r="C13" s="38"/>
      <c r="D13" s="39"/>
      <c r="E13" s="38"/>
      <c r="F13" s="27"/>
      <c r="G13" s="40"/>
      <c r="H13" s="27"/>
      <c r="I13" s="26"/>
    </row>
    <row r="14" spans="1:9" ht="12.75" hidden="1">
      <c r="A14" s="24"/>
      <c r="B14" s="27"/>
      <c r="C14" s="38"/>
      <c r="D14" s="39"/>
      <c r="E14" s="38"/>
      <c r="F14" s="27"/>
      <c r="G14" s="40"/>
      <c r="H14" s="27"/>
      <c r="I14" s="26"/>
    </row>
    <row r="15" spans="1:9" ht="12.75" hidden="1">
      <c r="A15" s="24"/>
      <c r="B15" s="27"/>
      <c r="C15" s="38"/>
      <c r="D15" s="39"/>
      <c r="E15" s="38"/>
      <c r="F15" s="27"/>
      <c r="G15" s="40"/>
      <c r="H15" s="27"/>
      <c r="I15" s="26"/>
    </row>
    <row r="16" spans="1:9" ht="12.75" hidden="1">
      <c r="A16" s="24"/>
      <c r="B16" s="27"/>
      <c r="C16" s="38"/>
      <c r="D16" s="39"/>
      <c r="E16" s="38"/>
      <c r="F16" s="27"/>
      <c r="G16" s="40"/>
      <c r="H16" s="27"/>
      <c r="I16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91"/>
  <sheetViews>
    <sheetView workbookViewId="0" topLeftCell="A41">
      <selection activeCell="A56" sqref="A56"/>
    </sheetView>
  </sheetViews>
  <sheetFormatPr defaultColWidth="9.00390625" defaultRowHeight="15"/>
  <cols>
    <col min="1" max="3" width="9.00390625" style="31" customWidth="1"/>
    <col min="4" max="4" width="4.75390625" style="31" customWidth="1"/>
    <col min="5" max="5" width="10.00390625" style="31" bestFit="1" customWidth="1"/>
    <col min="6" max="6" width="7.625" style="31" customWidth="1"/>
    <col min="7" max="7" width="10.00390625" style="31" bestFit="1" customWidth="1"/>
    <col min="8" max="8" width="7.625" style="31" customWidth="1"/>
    <col min="9" max="9" width="10.00390625" style="31" bestFit="1" customWidth="1"/>
    <col min="10" max="16384" width="9.00390625" style="31" customWidth="1"/>
  </cols>
  <sheetData>
    <row r="1" spans="1:12" s="95" customFormat="1" ht="15">
      <c r="A1" s="96" t="s">
        <v>7</v>
      </c>
      <c r="B1" s="55"/>
      <c r="C1" s="56"/>
      <c r="D1" s="57"/>
      <c r="E1" s="56">
        <f>+'BALANCE SHEET'!E8</f>
        <v>37256</v>
      </c>
      <c r="F1" s="57"/>
      <c r="G1" s="56">
        <f>+'BALANCE SHEET'!G8</f>
        <v>37621</v>
      </c>
      <c r="H1" s="57"/>
      <c r="I1" s="56">
        <f>+'BALANCE SHEET'!I8</f>
        <v>37894</v>
      </c>
      <c r="J1" s="146"/>
      <c r="K1" s="98"/>
      <c r="L1" s="99"/>
    </row>
    <row r="2" spans="1:12" s="95" customFormat="1" ht="15">
      <c r="A2" s="100" t="s">
        <v>8</v>
      </c>
      <c r="B2" s="44"/>
      <c r="C2" s="62"/>
      <c r="D2" s="62"/>
      <c r="E2" s="62" t="str">
        <f>+'BALANCE SHEET'!E9</f>
        <v>Tax Return</v>
      </c>
      <c r="F2" s="62"/>
      <c r="G2" s="62" t="str">
        <f>+'BALANCE SHEET'!G9</f>
        <v>Tax Return</v>
      </c>
      <c r="H2" s="62"/>
      <c r="I2" s="62" t="str">
        <f>+'BALANCE SHEET'!I9</f>
        <v>F/S</v>
      </c>
      <c r="J2" s="147"/>
      <c r="K2" s="102"/>
      <c r="L2" s="99"/>
    </row>
    <row r="3" spans="1:12" s="95" customFormat="1" ht="15">
      <c r="A3" s="103" t="s">
        <v>14</v>
      </c>
      <c r="B3" s="49"/>
      <c r="C3" s="69"/>
      <c r="D3" s="69"/>
      <c r="E3" s="69">
        <f>+'BALANCE SHEET'!E10</f>
        <v>12</v>
      </c>
      <c r="F3" s="69"/>
      <c r="G3" s="69">
        <f>+'BALANCE SHEET'!G10</f>
        <v>12</v>
      </c>
      <c r="H3" s="69"/>
      <c r="I3" s="75">
        <f>+'BALANCE SHEET'!I10</f>
        <v>9</v>
      </c>
      <c r="J3" s="104" t="s">
        <v>14</v>
      </c>
      <c r="K3" s="148"/>
      <c r="L3" s="99"/>
    </row>
    <row r="4" spans="1:12" ht="15.75">
      <c r="A4" s="50" t="s">
        <v>170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>
      <c r="A6" s="44" t="s">
        <v>171</v>
      </c>
      <c r="B6" s="44"/>
      <c r="C6" s="44"/>
      <c r="D6" s="44"/>
      <c r="E6" s="79">
        <f>'INCOME STATEMENT'!E11</f>
        <v>910.9</v>
      </c>
      <c r="F6" s="79"/>
      <c r="G6" s="79">
        <f>'INCOME STATEMENT'!G11</f>
        <v>1201.8</v>
      </c>
      <c r="H6" s="79"/>
      <c r="I6" s="79">
        <f>'INCOME STATEMENT'!I11</f>
        <v>903.2</v>
      </c>
      <c r="J6" s="44"/>
      <c r="K6" s="44"/>
      <c r="L6" s="44"/>
    </row>
    <row r="7" spans="1:12" ht="15">
      <c r="A7" s="44" t="s">
        <v>172</v>
      </c>
      <c r="B7" s="44"/>
      <c r="C7" s="44"/>
      <c r="D7" s="44"/>
      <c r="E7" s="79">
        <f>-('BALANCE SHEET'!E17-'BALANCE SHEET'!C17+'INCOME STATEMENT'!E34)</f>
        <v>-132.10000000000002</v>
      </c>
      <c r="F7" s="79"/>
      <c r="G7" s="79">
        <f>-('BALANCE SHEET'!G17-'BALANCE SHEET'!E17+'INCOME STATEMENT'!G34)</f>
        <v>-799.6999999999999</v>
      </c>
      <c r="H7" s="79"/>
      <c r="I7" s="79">
        <f>-('BALANCE SHEET'!I17-'BALANCE SHEET'!G17+'INCOME STATEMENT'!I34)</f>
        <v>-221</v>
      </c>
      <c r="J7" s="44"/>
      <c r="K7" s="44"/>
      <c r="L7" s="44"/>
    </row>
    <row r="8" spans="1:12" ht="15">
      <c r="A8" s="44" t="s">
        <v>173</v>
      </c>
      <c r="B8" s="44"/>
      <c r="C8" s="44"/>
      <c r="D8" s="44"/>
      <c r="E8" s="79">
        <f>SUM(E6:E7)</f>
        <v>778.8</v>
      </c>
      <c r="F8" s="79"/>
      <c r="G8" s="79">
        <f>SUM(G6:G7)</f>
        <v>402.1</v>
      </c>
      <c r="H8" s="79"/>
      <c r="I8" s="79">
        <f>SUM(I6:I7)</f>
        <v>682.2</v>
      </c>
      <c r="J8" s="44"/>
      <c r="K8" s="44"/>
      <c r="L8" s="44"/>
    </row>
    <row r="9" spans="1:12" ht="15">
      <c r="A9" s="44"/>
      <c r="B9" s="44"/>
      <c r="C9" s="44"/>
      <c r="D9" s="44"/>
      <c r="E9" s="79"/>
      <c r="F9" s="79"/>
      <c r="G9" s="79"/>
      <c r="H9" s="79"/>
      <c r="I9" s="79"/>
      <c r="J9" s="44"/>
      <c r="K9" s="44"/>
      <c r="L9" s="44"/>
    </row>
    <row r="10" spans="1:12" ht="15">
      <c r="A10" s="44" t="s">
        <v>174</v>
      </c>
      <c r="B10" s="44"/>
      <c r="C10" s="44"/>
      <c r="D10" s="44"/>
      <c r="E10" s="79">
        <f>-'INCOME STATEMENT'!E12</f>
        <v>-190</v>
      </c>
      <c r="F10" s="79"/>
      <c r="G10" s="79">
        <f>-'INCOME STATEMENT'!G12</f>
        <v>-438</v>
      </c>
      <c r="H10" s="79"/>
      <c r="I10" s="79">
        <f>-'INCOME STATEMENT'!I12</f>
        <v>-270</v>
      </c>
      <c r="J10" s="44"/>
      <c r="K10" s="44"/>
      <c r="L10" s="44"/>
    </row>
    <row r="11" spans="1:12" ht="15">
      <c r="A11" s="44" t="s">
        <v>175</v>
      </c>
      <c r="B11" s="44"/>
      <c r="C11" s="44"/>
      <c r="D11" s="44"/>
      <c r="E11" s="79">
        <f>'BALANCE SHEET'!E47-'BALANCE SHEET'!C47</f>
        <v>-37.599999999999994</v>
      </c>
      <c r="F11" s="79"/>
      <c r="G11" s="79">
        <f>'BALANCE SHEET'!G47-'BALANCE SHEET'!E47</f>
        <v>19</v>
      </c>
      <c r="H11" s="79"/>
      <c r="I11" s="79">
        <f>'BALANCE SHEET'!I47-'BALANCE SHEET'!G47</f>
        <v>-44.900000000000006</v>
      </c>
      <c r="J11" s="44"/>
      <c r="K11" s="44"/>
      <c r="L11" s="44"/>
    </row>
    <row r="12" spans="1:12" ht="15">
      <c r="A12" s="44" t="s">
        <v>176</v>
      </c>
      <c r="B12" s="44"/>
      <c r="C12" s="44"/>
      <c r="D12" s="44"/>
      <c r="E12" s="79">
        <f>-('BALANCE SHEET'!E19-'BALANCE SHEET'!C19)</f>
        <v>-132.89999999999998</v>
      </c>
      <c r="F12" s="79"/>
      <c r="G12" s="79">
        <f>-('BALANCE SHEET'!G19-'BALANCE SHEET'!E19)</f>
        <v>-134.10000000000002</v>
      </c>
      <c r="H12" s="79"/>
      <c r="I12" s="79">
        <f>-('BALANCE SHEET'!I19-'BALANCE SHEET'!G19)</f>
        <v>-18.800000000000068</v>
      </c>
      <c r="J12" s="44"/>
      <c r="K12" s="44"/>
      <c r="L12" s="44"/>
    </row>
    <row r="13" spans="1:12" ht="15">
      <c r="A13" s="44" t="s">
        <v>177</v>
      </c>
      <c r="B13" s="44"/>
      <c r="C13" s="44"/>
      <c r="D13" s="44"/>
      <c r="E13" s="79">
        <f>SUM(E10:E12)</f>
        <v>-360.5</v>
      </c>
      <c r="F13" s="79"/>
      <c r="G13" s="79">
        <f>SUM(G10:G12)</f>
        <v>-553.1</v>
      </c>
      <c r="H13" s="79"/>
      <c r="I13" s="79">
        <f>SUM(I10:I12)</f>
        <v>-333.70000000000005</v>
      </c>
      <c r="J13" s="44"/>
      <c r="K13" s="44"/>
      <c r="L13" s="44"/>
    </row>
    <row r="14" spans="1:12" ht="15">
      <c r="A14" s="44"/>
      <c r="B14" s="44"/>
      <c r="C14" s="44"/>
      <c r="D14" s="44"/>
      <c r="E14" s="79"/>
      <c r="F14" s="79"/>
      <c r="G14" s="79"/>
      <c r="H14" s="79"/>
      <c r="I14" s="79"/>
      <c r="J14" s="44"/>
      <c r="K14" s="44"/>
      <c r="L14" s="44"/>
    </row>
    <row r="15" spans="1:12" ht="15">
      <c r="A15" s="44" t="s">
        <v>178</v>
      </c>
      <c r="B15" s="44"/>
      <c r="C15" s="44"/>
      <c r="D15" s="44"/>
      <c r="E15" s="79">
        <f>E8+E13</f>
        <v>418.29999999999995</v>
      </c>
      <c r="F15" s="79"/>
      <c r="G15" s="79">
        <f>G8+G13</f>
        <v>-151</v>
      </c>
      <c r="H15" s="79"/>
      <c r="I15" s="79">
        <f>I8+I13</f>
        <v>348.5</v>
      </c>
      <c r="J15" s="44"/>
      <c r="K15" s="44"/>
      <c r="L15" s="44"/>
    </row>
    <row r="16" spans="1:12" ht="15">
      <c r="A16" s="44"/>
      <c r="B16" s="44"/>
      <c r="C16" s="44"/>
      <c r="D16" s="44"/>
      <c r="E16" s="79"/>
      <c r="F16" s="79"/>
      <c r="G16" s="79"/>
      <c r="H16" s="79"/>
      <c r="I16" s="79"/>
      <c r="J16" s="44"/>
      <c r="K16" s="44"/>
      <c r="L16" s="44"/>
    </row>
    <row r="17" spans="1:12" ht="15">
      <c r="A17" s="44" t="s">
        <v>179</v>
      </c>
      <c r="B17" s="44"/>
      <c r="C17" s="44"/>
      <c r="D17" s="44"/>
      <c r="E17" s="79">
        <f>-SUM('INCOME STATEMENT'!E15:E33)</f>
        <v>-664.1999999999999</v>
      </c>
      <c r="F17" s="79"/>
      <c r="G17" s="79">
        <f>-SUM('INCOME STATEMENT'!G15:G33)</f>
        <v>-691.9000000000001</v>
      </c>
      <c r="H17" s="79"/>
      <c r="I17" s="79">
        <f>-SUM('INCOME STATEMENT'!I15:I33)</f>
        <v>-521.2</v>
      </c>
      <c r="J17" s="44"/>
      <c r="K17" s="44"/>
      <c r="L17" s="44"/>
    </row>
    <row r="18" spans="1:12" ht="15">
      <c r="A18" s="44" t="s">
        <v>180</v>
      </c>
      <c r="B18" s="44"/>
      <c r="C18" s="44"/>
      <c r="D18" s="44"/>
      <c r="E18" s="79">
        <f>-('BALANCE SHEET'!E34-'BALANCE SHEET'!C34)</f>
        <v>-0.6000000000000014</v>
      </c>
      <c r="F18" s="79"/>
      <c r="G18" s="79">
        <f>-('BALANCE SHEET'!G34-'BALANCE SHEET'!E34)</f>
        <v>9.400000000000002</v>
      </c>
      <c r="H18" s="79"/>
      <c r="I18" s="79">
        <f>-('BALANCE SHEET'!I34-'BALANCE SHEET'!G34)</f>
        <v>-2.200000000000001</v>
      </c>
      <c r="J18" s="44"/>
      <c r="K18" s="44"/>
      <c r="L18" s="44"/>
    </row>
    <row r="19" spans="1:12" ht="15">
      <c r="A19" s="44" t="s">
        <v>181</v>
      </c>
      <c r="B19" s="44"/>
      <c r="C19" s="44"/>
      <c r="D19" s="44"/>
      <c r="E19" s="79">
        <f>SUM('BALANCE SHEET'!E50:E52)-SUM('BALANCE SHEET'!C50:C52)</f>
        <v>39.9</v>
      </c>
      <c r="F19" s="79"/>
      <c r="G19" s="79">
        <f>SUM('BALANCE SHEET'!G50:G52)-SUM('BALANCE SHEET'!E50:E52)</f>
        <v>-5.799999999999997</v>
      </c>
      <c r="H19" s="79"/>
      <c r="I19" s="79">
        <f>SUM('BALANCE SHEET'!I50:I52)-SUM('BALANCE SHEET'!G50:G52)</f>
        <v>-31.3</v>
      </c>
      <c r="J19" s="44"/>
      <c r="K19" s="44"/>
      <c r="L19" s="44"/>
    </row>
    <row r="20" spans="1:12" ht="15">
      <c r="A20" s="44" t="s">
        <v>182</v>
      </c>
      <c r="B20" s="44"/>
      <c r="C20" s="44"/>
      <c r="D20" s="44"/>
      <c r="E20" s="79">
        <f>SUM(E17:E19)</f>
        <v>-624.9</v>
      </c>
      <c r="F20" s="79"/>
      <c r="G20" s="79">
        <f>SUM(G17:G19)</f>
        <v>-688.3000000000001</v>
      </c>
      <c r="H20" s="79"/>
      <c r="I20" s="79">
        <f>SUM(I17:I19)</f>
        <v>-554.7</v>
      </c>
      <c r="J20" s="44"/>
      <c r="K20" s="44"/>
      <c r="L20" s="44"/>
    </row>
    <row r="21" spans="1:12" ht="15">
      <c r="A21" s="44" t="s">
        <v>183</v>
      </c>
      <c r="B21" s="44"/>
      <c r="C21" s="44"/>
      <c r="D21" s="44"/>
      <c r="E21" s="79"/>
      <c r="F21" s="79"/>
      <c r="G21" s="79"/>
      <c r="H21" s="79"/>
      <c r="I21" s="79"/>
      <c r="J21" s="44"/>
      <c r="K21" s="44"/>
      <c r="L21" s="44"/>
    </row>
    <row r="22" spans="1:12" ht="15">
      <c r="A22" s="44" t="s">
        <v>184</v>
      </c>
      <c r="B22" s="44"/>
      <c r="C22" s="44"/>
      <c r="D22" s="44"/>
      <c r="E22" s="79">
        <f>E15+E20</f>
        <v>-206.60000000000002</v>
      </c>
      <c r="F22" s="79"/>
      <c r="G22" s="79">
        <f>G15+G20</f>
        <v>-839.3000000000001</v>
      </c>
      <c r="H22" s="79"/>
      <c r="I22" s="79">
        <f>I15+I20</f>
        <v>-206.20000000000005</v>
      </c>
      <c r="J22" s="44"/>
      <c r="K22" s="44"/>
      <c r="L22" s="44"/>
    </row>
    <row r="23" spans="1:12" ht="15">
      <c r="A23" s="44"/>
      <c r="B23" s="44"/>
      <c r="C23" s="44"/>
      <c r="D23" s="44"/>
      <c r="E23" s="79"/>
      <c r="F23" s="79"/>
      <c r="G23" s="79"/>
      <c r="H23" s="79"/>
      <c r="I23" s="79"/>
      <c r="J23" s="44"/>
      <c r="K23" s="44"/>
      <c r="L23" s="44"/>
    </row>
    <row r="24" spans="1:12" ht="15">
      <c r="A24" s="44" t="s">
        <v>185</v>
      </c>
      <c r="B24" s="44"/>
      <c r="C24" s="44"/>
      <c r="D24" s="44"/>
      <c r="E24" s="79">
        <f>'INCOME STATEMENT'!E42+'INCOME STATEMENT'!E44-(SUM('BALANCE SHEET'!E18:E18)-SUM('BALANCE SHEET'!C18:C18))</f>
        <v>0</v>
      </c>
      <c r="F24" s="79"/>
      <c r="G24" s="79">
        <f>'INCOME STATEMENT'!G42+'INCOME STATEMENT'!G44-(SUM('BALANCE SHEET'!G18:G18)-SUM('BALANCE SHEET'!E18:E18))</f>
        <v>0</v>
      </c>
      <c r="H24" s="79"/>
      <c r="I24" s="79">
        <f>'INCOME STATEMENT'!I42+'INCOME STATEMENT'!I44-(SUM('BALANCE SHEET'!I18:I18)-SUM('BALANCE SHEET'!G18:G18))</f>
        <v>0</v>
      </c>
      <c r="J24" s="44"/>
      <c r="K24" s="44"/>
      <c r="L24" s="44"/>
    </row>
    <row r="25" spans="1:12" ht="15">
      <c r="A25" s="44" t="s">
        <v>186</v>
      </c>
      <c r="B25" s="44"/>
      <c r="C25" s="44"/>
      <c r="D25" s="44"/>
      <c r="E25" s="79">
        <f>-'INCOME STATEMENT'!E47-('BALANCE SHEET'!E35-'BALANCE SHEET'!C35)+('BALANCE SHEET'!E49-'BALANCE SHEET'!C49+'BALANCE SHEET'!E57-'BALANCE SHEET'!C57)</f>
        <v>0</v>
      </c>
      <c r="F25" s="79"/>
      <c r="G25" s="79">
        <f>-'INCOME STATEMENT'!G47-('BALANCE SHEET'!G35-'BALANCE SHEET'!E35)+('BALANCE SHEET'!G49-'BALANCE SHEET'!E49+'BALANCE SHEET'!G57-'BALANCE SHEET'!E57)</f>
        <v>0</v>
      </c>
      <c r="H25" s="79"/>
      <c r="I25" s="79">
        <f>-'INCOME STATEMENT'!I47-('BALANCE SHEET'!I35-'BALANCE SHEET'!G35)+('BALANCE SHEET'!I49-'BALANCE SHEET'!G49+'BALANCE SHEET'!I57-'BALANCE SHEET'!G57)</f>
        <v>0</v>
      </c>
      <c r="J25" s="44"/>
      <c r="K25" s="44"/>
      <c r="L25" s="44"/>
    </row>
    <row r="26" spans="1:12" ht="15">
      <c r="A26" s="44"/>
      <c r="B26" s="44"/>
      <c r="C26" s="44"/>
      <c r="D26" s="44"/>
      <c r="E26" s="79"/>
      <c r="F26" s="79"/>
      <c r="G26" s="79"/>
      <c r="H26" s="79"/>
      <c r="I26" s="79"/>
      <c r="J26" s="44"/>
      <c r="K26" s="44"/>
      <c r="L26" s="44"/>
    </row>
    <row r="27" spans="1:12" ht="15">
      <c r="A27" s="44" t="s">
        <v>187</v>
      </c>
      <c r="B27" s="44"/>
      <c r="C27" s="44"/>
      <c r="D27" s="44"/>
      <c r="E27" s="79">
        <f>E22+E24+E25</f>
        <v>-206.60000000000002</v>
      </c>
      <c r="F27" s="79"/>
      <c r="G27" s="79">
        <f>G22+G24+G25</f>
        <v>-839.3000000000001</v>
      </c>
      <c r="H27" s="79"/>
      <c r="I27" s="79">
        <f>I22+I24+I25</f>
        <v>-206.20000000000005</v>
      </c>
      <c r="J27" s="44"/>
      <c r="K27" s="44"/>
      <c r="L27" s="44"/>
    </row>
    <row r="28" spans="1:12" ht="15">
      <c r="A28" s="44"/>
      <c r="B28" s="44"/>
      <c r="C28" s="44"/>
      <c r="D28" s="44"/>
      <c r="E28" s="79"/>
      <c r="F28" s="79"/>
      <c r="G28" s="79"/>
      <c r="H28" s="79"/>
      <c r="I28" s="79"/>
      <c r="J28" s="44"/>
      <c r="K28" s="44"/>
      <c r="L28" s="44"/>
    </row>
    <row r="29" spans="1:12" ht="15">
      <c r="A29" s="44" t="s">
        <v>188</v>
      </c>
      <c r="B29" s="44"/>
      <c r="C29" s="44"/>
      <c r="D29" s="44"/>
      <c r="E29" s="79">
        <f>'INCOME STATEMENT'!E41</f>
        <v>-11.7</v>
      </c>
      <c r="F29" s="79"/>
      <c r="G29" s="79">
        <f>'INCOME STATEMENT'!G41</f>
        <v>-9.4</v>
      </c>
      <c r="H29" s="79"/>
      <c r="I29" s="79">
        <f>'INCOME STATEMENT'!I41</f>
        <v>-8.8</v>
      </c>
      <c r="J29" s="44"/>
      <c r="K29" s="44"/>
      <c r="L29" s="44"/>
    </row>
    <row r="30" spans="1:12" ht="15">
      <c r="A30" s="44" t="s">
        <v>189</v>
      </c>
      <c r="B30" s="44"/>
      <c r="C30" s="44"/>
      <c r="D30" s="44"/>
      <c r="E30" s="79">
        <f>RATIOS!D6+RATIOS!D7</f>
        <v>0</v>
      </c>
      <c r="F30" s="79"/>
      <c r="G30" s="79">
        <f>RATIOS!E6+RATIOS!E7</f>
        <v>0</v>
      </c>
      <c r="H30" s="79"/>
      <c r="I30" s="79">
        <f>RATIOS!F6+RATIOS!F7</f>
        <v>0</v>
      </c>
      <c r="J30" s="44"/>
      <c r="K30" s="44"/>
      <c r="L30" s="44"/>
    </row>
    <row r="31" spans="1:12" ht="15">
      <c r="A31" s="44" t="s">
        <v>190</v>
      </c>
      <c r="B31" s="44"/>
      <c r="C31" s="44"/>
      <c r="D31" s="44"/>
      <c r="E31" s="79">
        <f>SUM(E29:E30)</f>
        <v>-11.7</v>
      </c>
      <c r="F31" s="79"/>
      <c r="G31" s="79">
        <f>SUM(G29:G30)</f>
        <v>-9.4</v>
      </c>
      <c r="H31" s="79"/>
      <c r="I31" s="79">
        <f>SUM(I29:I30)</f>
        <v>-8.8</v>
      </c>
      <c r="J31" s="44"/>
      <c r="K31" s="44"/>
      <c r="L31" s="44"/>
    </row>
    <row r="32" spans="1:12" ht="15">
      <c r="A32" s="44"/>
      <c r="B32" s="44"/>
      <c r="C32" s="44"/>
      <c r="D32" s="44"/>
      <c r="E32" s="79"/>
      <c r="F32" s="79"/>
      <c r="G32" s="79"/>
      <c r="H32" s="79"/>
      <c r="I32" s="79"/>
      <c r="J32" s="44"/>
      <c r="K32" s="44"/>
      <c r="L32" s="44"/>
    </row>
    <row r="33" spans="1:12" ht="15">
      <c r="A33" s="44" t="s">
        <v>191</v>
      </c>
      <c r="B33" s="44"/>
      <c r="C33" s="44"/>
      <c r="D33" s="44"/>
      <c r="E33" s="79">
        <f>E27+E31</f>
        <v>-218.3</v>
      </c>
      <c r="F33" s="79"/>
      <c r="G33" s="79">
        <f>G27+G31</f>
        <v>-848.7</v>
      </c>
      <c r="H33" s="79"/>
      <c r="I33" s="79">
        <f>I27+I31</f>
        <v>-215.00000000000006</v>
      </c>
      <c r="J33" s="44"/>
      <c r="K33" s="44"/>
      <c r="L33" s="44"/>
    </row>
    <row r="34" spans="1:12" ht="15">
      <c r="A34" s="44"/>
      <c r="B34" s="44"/>
      <c r="C34" s="44"/>
      <c r="D34" s="44"/>
      <c r="E34" s="79"/>
      <c r="F34" s="79"/>
      <c r="G34" s="79"/>
      <c r="H34" s="79"/>
      <c r="I34" s="79"/>
      <c r="J34" s="44"/>
      <c r="K34" s="44"/>
      <c r="L34" s="44"/>
    </row>
    <row r="35" spans="1:12" ht="15">
      <c r="A35" s="44" t="s">
        <v>192</v>
      </c>
      <c r="B35" s="44"/>
      <c r="C35" s="44"/>
      <c r="D35" s="44"/>
      <c r="E35" s="79">
        <f>-SUM('BALANCE SHEET'!C45:C46)</f>
        <v>0</v>
      </c>
      <c r="F35" s="79"/>
      <c r="G35" s="79">
        <f>-SUM('BALANCE SHEET'!E45:E46)</f>
        <v>0</v>
      </c>
      <c r="H35" s="79"/>
      <c r="I35" s="79">
        <f>-SUM('BALANCE SHEET'!G45:G46)/12*I3</f>
        <v>0</v>
      </c>
      <c r="J35" s="44"/>
      <c r="K35" s="44"/>
      <c r="L35" s="44"/>
    </row>
    <row r="36" spans="1:12" ht="15">
      <c r="A36" s="44"/>
      <c r="B36" s="44"/>
      <c r="C36" s="44"/>
      <c r="D36" s="44"/>
      <c r="E36" s="79"/>
      <c r="F36" s="79"/>
      <c r="G36" s="79"/>
      <c r="H36" s="79"/>
      <c r="I36" s="79"/>
      <c r="J36" s="44"/>
      <c r="K36" s="44"/>
      <c r="L36" s="44"/>
    </row>
    <row r="37" spans="1:12" ht="15">
      <c r="A37" s="44" t="s">
        <v>193</v>
      </c>
      <c r="B37" s="44"/>
      <c r="C37" s="44"/>
      <c r="D37" s="44"/>
      <c r="E37" s="79">
        <f>E33+E35</f>
        <v>-218.3</v>
      </c>
      <c r="F37" s="79"/>
      <c r="G37" s="79">
        <f>G33+G35</f>
        <v>-848.7</v>
      </c>
      <c r="H37" s="79"/>
      <c r="I37" s="79">
        <f>I33+I35</f>
        <v>-215.00000000000006</v>
      </c>
      <c r="J37" s="44"/>
      <c r="K37" s="44"/>
      <c r="L37" s="44"/>
    </row>
    <row r="38" spans="1:12" ht="15">
      <c r="A38" s="44"/>
      <c r="B38" s="44"/>
      <c r="C38" s="44"/>
      <c r="D38" s="44"/>
      <c r="E38" s="79"/>
      <c r="F38" s="79"/>
      <c r="G38" s="79"/>
      <c r="H38" s="79"/>
      <c r="I38" s="79"/>
      <c r="J38" s="44"/>
      <c r="K38" s="44"/>
      <c r="L38" s="44"/>
    </row>
    <row r="39" spans="1:12" ht="15.75">
      <c r="A39" s="50" t="s">
        <v>211</v>
      </c>
      <c r="B39" s="50"/>
      <c r="C39" s="50"/>
      <c r="D39" s="50"/>
      <c r="E39" s="149" t="e">
        <f>-E33/E35</f>
        <v>#DIV/0!</v>
      </c>
      <c r="F39" s="82"/>
      <c r="G39" s="149" t="e">
        <f>-G33/G35</f>
        <v>#DIV/0!</v>
      </c>
      <c r="H39" s="82"/>
      <c r="I39" s="149" t="e">
        <f>-I33/I35</f>
        <v>#DIV/0!</v>
      </c>
      <c r="J39" s="44"/>
      <c r="K39" s="44"/>
      <c r="L39" s="44"/>
    </row>
    <row r="40" spans="1:12" ht="15">
      <c r="A40" s="44"/>
      <c r="B40" s="44"/>
      <c r="C40" s="44"/>
      <c r="D40" s="44"/>
      <c r="E40" s="79"/>
      <c r="F40" s="79"/>
      <c r="G40" s="79"/>
      <c r="H40" s="79"/>
      <c r="I40" s="79"/>
      <c r="J40" s="44"/>
      <c r="K40" s="44"/>
      <c r="L40" s="44"/>
    </row>
    <row r="41" spans="1:12" ht="15">
      <c r="A41" s="44" t="s">
        <v>194</v>
      </c>
      <c r="B41" s="44"/>
      <c r="C41" s="44"/>
      <c r="D41" s="44"/>
      <c r="E41" s="79">
        <f>-('BALANCE SHEET'!E27-'BALANCE SHEET'!C27+'INCOME STATEMENT'!E35)</f>
        <v>-7.0000000000000036</v>
      </c>
      <c r="F41" s="79"/>
      <c r="G41" s="79">
        <f>-('BALANCE SHEET'!G27-'BALANCE SHEET'!E27+'INCOME STATEMENT'!G35)</f>
        <v>-39.900000000000006</v>
      </c>
      <c r="H41" s="79"/>
      <c r="I41" s="79">
        <f>-('BALANCE SHEET'!I27-'BALANCE SHEET'!G27+'INCOME STATEMENT'!I35)</f>
        <v>-2.599999999999987</v>
      </c>
      <c r="J41" s="44"/>
      <c r="K41" s="44"/>
      <c r="L41" s="44"/>
    </row>
    <row r="42" spans="1:12" ht="15">
      <c r="A42" s="44" t="s">
        <v>195</v>
      </c>
      <c r="B42" s="44"/>
      <c r="C42" s="44"/>
      <c r="D42" s="44"/>
      <c r="E42" s="79">
        <f>-('BALANCE SHEET'!E32+SUM('BALANCE SHEET'!E36:E39)-'BALANCE SHEET'!C32-SUM('BALANCE SHEET'!C36:C39)+'INCOME STATEMENT'!E36)</f>
        <v>-7.799999999999997</v>
      </c>
      <c r="F42" s="79"/>
      <c r="G42" s="79">
        <f>-('BALANCE SHEET'!G32+SUM('BALANCE SHEET'!G36:G39)-'BALANCE SHEET'!E32-SUM('BALANCE SHEET'!E36:E39)+'INCOME STATEMENT'!G36)</f>
        <v>-234.2</v>
      </c>
      <c r="H42" s="79"/>
      <c r="I42" s="79">
        <f>-('BALANCE SHEET'!I32+SUM('BALANCE SHEET'!I36:I39)-'BALANCE SHEET'!G32-SUM('BALANCE SHEET'!G36:G39)+'INCOME STATEMENT'!I36)</f>
        <v>242</v>
      </c>
      <c r="J42" s="44"/>
      <c r="K42" s="44"/>
      <c r="L42" s="44"/>
    </row>
    <row r="43" spans="1:12" ht="15">
      <c r="A43" s="44" t="s">
        <v>196</v>
      </c>
      <c r="B43" s="44"/>
      <c r="C43" s="44"/>
      <c r="D43" s="44"/>
      <c r="E43" s="79">
        <f>E37+E41+E42</f>
        <v>-233.10000000000002</v>
      </c>
      <c r="F43" s="79"/>
      <c r="G43" s="79">
        <f>G37+G41+G42</f>
        <v>-1122.8</v>
      </c>
      <c r="H43" s="79"/>
      <c r="I43" s="79">
        <f>I37+I41+I42</f>
        <v>24.39999999999995</v>
      </c>
      <c r="J43" s="44"/>
      <c r="K43" s="44"/>
      <c r="L43" s="44"/>
    </row>
    <row r="44" spans="1:12" ht="15">
      <c r="A44" s="44"/>
      <c r="B44" s="44"/>
      <c r="C44" s="44"/>
      <c r="D44" s="44"/>
      <c r="E44" s="79"/>
      <c r="F44" s="79"/>
      <c r="G44" s="79"/>
      <c r="H44" s="79"/>
      <c r="I44" s="79"/>
      <c r="J44" s="44"/>
      <c r="K44" s="44"/>
      <c r="L44" s="44"/>
    </row>
    <row r="45" spans="1:12" ht="15">
      <c r="A45" s="44" t="s">
        <v>197</v>
      </c>
      <c r="B45" s="44"/>
      <c r="C45" s="44"/>
      <c r="D45" s="44"/>
      <c r="E45" s="79">
        <f>SUM('BALANCE SHEET'!E42:E44)-SUM('BALANCE SHEET'!C42:C44)</f>
        <v>19.1</v>
      </c>
      <c r="F45" s="79"/>
      <c r="G45" s="79">
        <f>SUM('BALANCE SHEET'!G42:G44)-SUM('BALANCE SHEET'!E42:E44)</f>
        <v>79.69999999999999</v>
      </c>
      <c r="H45" s="79"/>
      <c r="I45" s="79">
        <f>SUM('BALANCE SHEET'!I42:I44)-SUM('BALANCE SHEET'!G42:G44)</f>
        <v>-149.2</v>
      </c>
      <c r="J45" s="44"/>
      <c r="K45" s="44"/>
      <c r="L45" s="44"/>
    </row>
    <row r="46" spans="1:12" ht="15">
      <c r="A46" s="44" t="s">
        <v>198</v>
      </c>
      <c r="B46" s="44"/>
      <c r="C46" s="44"/>
      <c r="D46" s="44"/>
      <c r="E46" s="79">
        <f>SUM('BALANCE SHEET'!E45:E46,'BALANCE SHEET'!E54:E56,'BALANCE SHEET'!E59:E61)-SUM('BALANCE SHEET'!C54:C56,'BALANCE SHEET'!C59:C61)</f>
        <v>-9.899999999999999</v>
      </c>
      <c r="F46" s="79"/>
      <c r="G46" s="79">
        <f>SUM('BALANCE SHEET'!G45:G46,'BALANCE SHEET'!G54:G56,'BALANCE SHEET'!G59:G61)-SUM('BALANCE SHEET'!E54:E56,'BALANCE SHEET'!E59:E61)</f>
        <v>-2.700000000000001</v>
      </c>
      <c r="H46" s="79"/>
      <c r="I46" s="79">
        <f>SUM('BALANCE SHEET'!I45:I46,'BALANCE SHEET'!I54:I56,'BALANCE SHEET'!I59:I61)-SUM('BALANCE SHEET'!G54:G56,'BALANCE SHEET'!G59:G61)-SUM('BALANCE SHEET'!G45:G46)/12*(12-I3)</f>
        <v>210.6</v>
      </c>
      <c r="J46" s="44"/>
      <c r="K46" s="44"/>
      <c r="L46" s="44"/>
    </row>
    <row r="47" spans="1:12" ht="15">
      <c r="A47" s="44" t="s">
        <v>199</v>
      </c>
      <c r="B47" s="44"/>
      <c r="C47" s="44"/>
      <c r="D47" s="44"/>
      <c r="E47" s="79">
        <f>SUM('BALANCE SHEET'!E63:E67)-SUM('BALANCE SHEET'!C63:C67)</f>
        <v>0</v>
      </c>
      <c r="F47" s="79"/>
      <c r="G47" s="79">
        <f>SUM('BALANCE SHEET'!G63:G67)-SUM('BALANCE SHEET'!E63:E67)</f>
        <v>0</v>
      </c>
      <c r="H47" s="79"/>
      <c r="I47" s="79">
        <f>SUM('BALANCE SHEET'!I63:I67)-SUM('BALANCE SHEET'!G63:G67)</f>
        <v>0</v>
      </c>
      <c r="J47" s="44"/>
      <c r="K47" s="44"/>
      <c r="L47" s="44"/>
    </row>
    <row r="48" spans="1:12" ht="15">
      <c r="A48" s="44" t="s">
        <v>200</v>
      </c>
      <c r="B48" s="44"/>
      <c r="C48" s="44"/>
      <c r="D48" s="44"/>
      <c r="E48" s="79">
        <v>0</v>
      </c>
      <c r="F48" s="79"/>
      <c r="G48" s="79">
        <v>0</v>
      </c>
      <c r="H48" s="79"/>
      <c r="I48" s="79">
        <v>0</v>
      </c>
      <c r="J48" s="44"/>
      <c r="K48" s="44"/>
      <c r="L48" s="44"/>
    </row>
    <row r="49" spans="1:12" ht="15">
      <c r="A49" s="44" t="s">
        <v>201</v>
      </c>
      <c r="B49" s="44"/>
      <c r="C49" s="44"/>
      <c r="D49" s="44"/>
      <c r="E49" s="79">
        <f>'INCOME STATEMENT'!E51</f>
        <v>0</v>
      </c>
      <c r="F49" s="79"/>
      <c r="G49" s="79">
        <f>'INCOME STATEMENT'!G51</f>
        <v>0</v>
      </c>
      <c r="H49" s="79"/>
      <c r="I49" s="79">
        <f>'INCOME STATEMENT'!I51</f>
        <v>0</v>
      </c>
      <c r="J49" s="44"/>
      <c r="K49" s="44"/>
      <c r="L49" s="44"/>
    </row>
    <row r="50" spans="1:12" ht="15">
      <c r="A50" s="44"/>
      <c r="B50" s="44"/>
      <c r="C50" s="44"/>
      <c r="D50" s="44"/>
      <c r="E50" s="79"/>
      <c r="F50" s="79"/>
      <c r="G50" s="79"/>
      <c r="H50" s="79"/>
      <c r="I50" s="79"/>
      <c r="J50" s="44"/>
      <c r="K50" s="44"/>
      <c r="L50" s="44"/>
    </row>
    <row r="51" spans="1:12" ht="15">
      <c r="A51" s="44" t="s">
        <v>202</v>
      </c>
      <c r="B51" s="44"/>
      <c r="C51" s="44"/>
      <c r="D51" s="44"/>
      <c r="E51" s="79">
        <f>SUM(E45:E49)</f>
        <v>9.200000000000003</v>
      </c>
      <c r="F51" s="79"/>
      <c r="G51" s="79">
        <f>SUM(G45:G49)</f>
        <v>76.99999999999999</v>
      </c>
      <c r="H51" s="79"/>
      <c r="I51" s="79">
        <f>SUM(I45:I49)</f>
        <v>61.400000000000006</v>
      </c>
      <c r="J51" s="44"/>
      <c r="K51" s="44"/>
      <c r="L51" s="44"/>
    </row>
    <row r="52" spans="1:12" ht="15">
      <c r="A52" s="44"/>
      <c r="B52" s="44"/>
      <c r="C52" s="44"/>
      <c r="D52" s="44"/>
      <c r="E52" s="79"/>
      <c r="F52" s="79"/>
      <c r="G52" s="79"/>
      <c r="H52" s="79"/>
      <c r="I52" s="79"/>
      <c r="J52" s="44"/>
      <c r="K52" s="44"/>
      <c r="L52" s="44"/>
    </row>
    <row r="53" spans="1:12" ht="15">
      <c r="A53" s="44" t="s">
        <v>203</v>
      </c>
      <c r="B53" s="44"/>
      <c r="C53" s="44"/>
      <c r="D53" s="44"/>
      <c r="E53" s="79">
        <f>E43+E51</f>
        <v>-223.90000000000003</v>
      </c>
      <c r="F53" s="79"/>
      <c r="G53" s="79">
        <f>G43+G51</f>
        <v>-1045.8</v>
      </c>
      <c r="H53" s="79"/>
      <c r="I53" s="79">
        <f>I43+I51</f>
        <v>85.79999999999995</v>
      </c>
      <c r="J53" s="44"/>
      <c r="K53" s="44"/>
      <c r="L53" s="44"/>
    </row>
    <row r="54" spans="1:12" ht="15">
      <c r="A54" s="44" t="s">
        <v>204</v>
      </c>
      <c r="B54" s="44"/>
      <c r="C54" s="44"/>
      <c r="D54" s="44"/>
      <c r="E54" s="79">
        <f>'BALANCE SHEET'!E14-'BALANCE SHEET'!C14</f>
        <v>7.600000000000001</v>
      </c>
      <c r="F54" s="79"/>
      <c r="G54" s="79">
        <f>'BALANCE SHEET'!G14-'BALANCE SHEET'!E14</f>
        <v>-3.6000000000000014</v>
      </c>
      <c r="H54" s="79"/>
      <c r="I54" s="79">
        <f>'BALANCE SHEET'!I14-'BALANCE SHEET'!G14</f>
        <v>-6.799999999999997</v>
      </c>
      <c r="J54" s="44"/>
      <c r="K54" s="44"/>
      <c r="L54" s="44"/>
    </row>
    <row r="55" spans="1:12" ht="15">
      <c r="A55" s="44"/>
      <c r="B55" s="44"/>
      <c r="C55" s="44"/>
      <c r="D55" s="44"/>
      <c r="E55" s="83"/>
      <c r="F55" s="44"/>
      <c r="G55" s="44"/>
      <c r="H55" s="44"/>
      <c r="I55" s="44"/>
      <c r="J55" s="44"/>
      <c r="K55" s="44"/>
      <c r="L55" s="44"/>
    </row>
    <row r="56" spans="1:12" ht="15">
      <c r="A56" s="44" t="s">
        <v>264</v>
      </c>
      <c r="B56" s="44"/>
      <c r="C56" s="44"/>
      <c r="D56" s="44"/>
      <c r="E56" s="79">
        <f>E53-E54</f>
        <v>-231.50000000000003</v>
      </c>
      <c r="F56" s="79"/>
      <c r="G56" s="79">
        <f>G53-G54</f>
        <v>-1042.2</v>
      </c>
      <c r="H56" s="79"/>
      <c r="I56" s="79">
        <f>I53-I54</f>
        <v>92.59999999999995</v>
      </c>
      <c r="J56" s="44"/>
      <c r="K56" s="44"/>
      <c r="L56" s="44"/>
    </row>
    <row r="57" spans="1:12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ht="1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2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2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ht="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ht="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ht="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ht="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ht="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ht="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ht="1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2" ht="1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ht="1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ht="1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ht="1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ht="1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ht="1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ht="1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1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ht="1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1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</sheetData>
  <printOptions/>
  <pageMargins left="0.5" right="0.5" top="0.75" bottom="0.75" header="0.5" footer="0.5"/>
  <pageSetup fitToHeight="1" fitToWidth="1" horizontalDpi="300" verticalDpi="3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9"/>
  <sheetViews>
    <sheetView workbookViewId="0" topLeftCell="B7">
      <selection activeCell="C17" sqref="C17"/>
    </sheetView>
  </sheetViews>
  <sheetFormatPr defaultColWidth="9.00390625" defaultRowHeight="15"/>
  <cols>
    <col min="2" max="2" width="18.25390625" style="0" customWidth="1"/>
    <col min="3" max="3" width="15.875" style="0" customWidth="1"/>
    <col min="4" max="4" width="15.50390625" style="0" customWidth="1"/>
    <col min="5" max="5" width="17.25390625" style="0" customWidth="1"/>
    <col min="6" max="6" width="17.50390625" style="0" customWidth="1"/>
  </cols>
  <sheetData>
    <row r="2" spans="2:6" ht="15.75">
      <c r="B2" s="157" t="s">
        <v>266</v>
      </c>
      <c r="C2" s="162">
        <f>+'INCOME STATEMENT'!E7</f>
        <v>37256</v>
      </c>
      <c r="D2" s="162">
        <f>+'INCOME STATEMENT'!G7</f>
        <v>37621</v>
      </c>
      <c r="E2" s="162">
        <f>+'INCOME STATEMENT'!I7</f>
        <v>37894</v>
      </c>
      <c r="F2" s="162">
        <f>+'INCOME STATEMENT'!J7</f>
        <v>0</v>
      </c>
    </row>
    <row r="3" spans="2:6" ht="15.75">
      <c r="B3" s="158" t="s">
        <v>267</v>
      </c>
      <c r="C3" s="163">
        <f>+'INCOME STATEMENT'!E9</f>
        <v>12</v>
      </c>
      <c r="D3" s="163">
        <f>+'INCOME STATEMENT'!G9</f>
        <v>12</v>
      </c>
      <c r="E3" s="163">
        <f>+'INCOME STATEMENT'!I9</f>
        <v>9</v>
      </c>
      <c r="F3" s="163" t="str">
        <f>+'INCOME STATEMENT'!K9</f>
        <v> </v>
      </c>
    </row>
    <row r="4" spans="2:6" ht="15.75">
      <c r="B4" s="159" t="s">
        <v>268</v>
      </c>
      <c r="C4" s="161" t="str">
        <f>+'INCOME STATEMENT'!E8</f>
        <v>Tax Return</v>
      </c>
      <c r="D4" s="161" t="str">
        <f>+'INCOME STATEMENT'!G8</f>
        <v>Tax Return</v>
      </c>
      <c r="E4" s="161" t="str">
        <f>+'INCOME STATEMENT'!I8</f>
        <v>F/S</v>
      </c>
      <c r="F4" s="169" t="str">
        <f>+'INCOME STATEMENT'!K8</f>
        <v>Projection</v>
      </c>
    </row>
    <row r="5" spans="2:6" ht="15.75">
      <c r="B5" s="160" t="s">
        <v>171</v>
      </c>
      <c r="C5" s="167">
        <f>+'INCOME STATEMENT'!E11</f>
        <v>910.9</v>
      </c>
      <c r="D5" s="167">
        <f>+'INCOME STATEMENT'!G11</f>
        <v>1201.8</v>
      </c>
      <c r="E5" s="167">
        <f>+'INCOME STATEMENT'!I11</f>
        <v>903.2</v>
      </c>
      <c r="F5" s="167">
        <f>+'INCOME STATEMENT'!K11</f>
        <v>0</v>
      </c>
    </row>
    <row r="6" spans="2:6" ht="15.75">
      <c r="B6" s="165" t="s">
        <v>234</v>
      </c>
      <c r="C6" s="168">
        <f>+'INCOME STATEMENT'!E53</f>
        <v>33.3</v>
      </c>
      <c r="D6" s="168">
        <f>+'INCOME STATEMENT'!G53</f>
        <v>38.999999999999865</v>
      </c>
      <c r="E6" s="168">
        <f>+'INCOME STATEMENT'!I53</f>
        <v>103.2</v>
      </c>
      <c r="F6" s="168">
        <f>+'INCOME STATEMENT'!K53</f>
        <v>0</v>
      </c>
    </row>
    <row r="7" spans="2:6" ht="15.75">
      <c r="B7" s="164" t="s">
        <v>269</v>
      </c>
      <c r="C7" s="168">
        <f>+'INCOME STATEMENT'!E56</f>
        <v>11.7</v>
      </c>
      <c r="D7" s="168">
        <f>+'INCOME STATEMENT'!G56</f>
        <v>23.5</v>
      </c>
      <c r="E7" s="168">
        <f>+'INCOME STATEMENT'!I56</f>
        <v>0</v>
      </c>
      <c r="F7" s="168">
        <f>+'INCOME STATEMENT'!K56</f>
        <v>0</v>
      </c>
    </row>
    <row r="8" spans="2:6" ht="15.75">
      <c r="B8" s="164" t="s">
        <v>270</v>
      </c>
      <c r="C8" s="168">
        <f>+'INCOME STATEMENT'!E55</f>
        <v>41.5</v>
      </c>
      <c r="D8" s="168">
        <f>+'INCOME STATEMENT'!G55</f>
        <v>47.1</v>
      </c>
      <c r="E8" s="168">
        <f>+'INCOME STATEMENT'!I55</f>
        <v>34.4</v>
      </c>
      <c r="F8" s="168">
        <f>+'INCOME STATEMENT'!K55</f>
        <v>0</v>
      </c>
    </row>
    <row r="9" spans="2:6" ht="15.75">
      <c r="B9" s="164" t="s">
        <v>271</v>
      </c>
      <c r="C9" s="168">
        <f>+'INCOME STATEMENT'!E57</f>
        <v>11.7</v>
      </c>
      <c r="D9" s="168">
        <f>+'INCOME STATEMENT'!G57</f>
        <v>9.4</v>
      </c>
      <c r="E9" s="168">
        <f>+'INCOME STATEMENT'!I57</f>
        <v>8.8</v>
      </c>
      <c r="F9" s="168">
        <f>+'INCOME STATEMENT'!K57</f>
        <v>0</v>
      </c>
    </row>
    <row r="10" spans="2:6" ht="15.75">
      <c r="B10" s="164" t="s">
        <v>272</v>
      </c>
      <c r="C10" s="168">
        <f>+'INCOME STATEMENT'!E58</f>
        <v>0</v>
      </c>
      <c r="D10" s="168">
        <f>+'INCOME STATEMENT'!G58</f>
        <v>70.8</v>
      </c>
      <c r="E10" s="168">
        <f>+'INCOME STATEMENT'!I58</f>
        <v>0</v>
      </c>
      <c r="F10" s="168">
        <f>+'INCOME STATEMENT'!K58</f>
        <v>0</v>
      </c>
    </row>
    <row r="11" spans="2:6" ht="15.75">
      <c r="B11" s="164" t="s">
        <v>273</v>
      </c>
      <c r="C11" s="168">
        <f>+'INCOME STATEMENT'!E59</f>
        <v>0</v>
      </c>
      <c r="D11" s="168">
        <f>+'INCOME STATEMENT'!G59</f>
        <v>0</v>
      </c>
      <c r="E11" s="168">
        <f>+'INCOME STATEMENT'!I59</f>
        <v>0</v>
      </c>
      <c r="F11" s="168">
        <f>+'INCOME STATEMENT'!K59</f>
        <v>0</v>
      </c>
    </row>
    <row r="12" spans="2:6" ht="15.75">
      <c r="B12" s="164" t="s">
        <v>273</v>
      </c>
      <c r="C12" s="168"/>
      <c r="D12" s="168"/>
      <c r="E12" s="168"/>
      <c r="F12" s="168"/>
    </row>
    <row r="13" spans="2:6" ht="15.75">
      <c r="B13" s="166" t="s">
        <v>223</v>
      </c>
      <c r="C13" s="168">
        <f>+'INCOME STATEMENT'!E60</f>
        <v>98.2</v>
      </c>
      <c r="D13" s="168">
        <f>+'INCOME STATEMENT'!G60</f>
        <v>189.79999999999987</v>
      </c>
      <c r="E13" s="168">
        <f>+'INCOME STATEMENT'!I60</f>
        <v>146.4</v>
      </c>
      <c r="F13" s="168">
        <f>+'INCOME STATEMENT'!K60</f>
        <v>0</v>
      </c>
    </row>
    <row r="14" spans="2:6" ht="15.75">
      <c r="B14" s="164" t="s">
        <v>274</v>
      </c>
      <c r="C14" s="168">
        <f>SUM('INCOME STATEMENT'!E62+'INCOME STATEMENT'!E63)</f>
        <v>106.3</v>
      </c>
      <c r="D14" s="168">
        <f>SUM(+'INCOME STATEMENT'!G62+'INCOME STATEMENT'!G63)</f>
        <v>106.3</v>
      </c>
      <c r="E14" s="168">
        <f>SUM(+'INCOME STATEMENT'!I62+'INCOME STATEMENT'!I63)</f>
        <v>79.725</v>
      </c>
      <c r="F14" s="168">
        <f>SUM(+'INCOME STATEMENT'!K62+'INCOME STATEMENT'!K63)</f>
        <v>106.3</v>
      </c>
    </row>
    <row r="15" spans="2:6" ht="15.75">
      <c r="B15" s="164" t="s">
        <v>275</v>
      </c>
      <c r="C15" s="168">
        <f>+'INCOME STATEMENT'!E64</f>
        <v>0</v>
      </c>
      <c r="D15" s="168">
        <f>+'INCOME STATEMENT'!G64</f>
        <v>0</v>
      </c>
      <c r="E15" s="168">
        <f>+'INCOME STATEMENT'!I64</f>
        <v>0</v>
      </c>
      <c r="F15" s="168">
        <f>+'INCOME STATEMENT'!K64</f>
        <v>0</v>
      </c>
    </row>
    <row r="16" spans="2:6" ht="15.75">
      <c r="B16" s="164" t="s">
        <v>276</v>
      </c>
      <c r="C16" s="168">
        <f>+'INCOME STATEMENT'!E65</f>
        <v>77.8</v>
      </c>
      <c r="D16" s="168">
        <f>+'INCOME STATEMENT'!G65</f>
        <v>70.8</v>
      </c>
      <c r="E16" s="168">
        <f>+'INCOME STATEMENT'!I65</f>
        <v>53.1</v>
      </c>
      <c r="F16" s="168">
        <f>+'INCOME STATEMENT'!K65</f>
        <v>0</v>
      </c>
    </row>
    <row r="17" spans="2:6" ht="15.75">
      <c r="B17" s="166" t="s">
        <v>224</v>
      </c>
      <c r="C17" s="168">
        <f>+'INCOME STATEMENT'!E67</f>
        <v>184.1</v>
      </c>
      <c r="D17" s="168">
        <f>+'INCOME STATEMENT'!G67</f>
        <v>177.1</v>
      </c>
      <c r="E17" s="168">
        <f>+'INCOME STATEMENT'!I67</f>
        <v>132.825</v>
      </c>
      <c r="F17" s="168">
        <f>+'INCOME STATEMENT'!K67</f>
        <v>106.3</v>
      </c>
    </row>
    <row r="18" spans="2:6" ht="15.75">
      <c r="B18" s="164" t="s">
        <v>278</v>
      </c>
      <c r="C18" s="168">
        <f>+'INCOME STATEMENT'!E68</f>
        <v>-85.89999999999999</v>
      </c>
      <c r="D18" s="168">
        <f>+'INCOME STATEMENT'!G68</f>
        <v>12.699999999999875</v>
      </c>
      <c r="E18" s="168">
        <f>+'INCOME STATEMENT'!I68</f>
        <v>13.575000000000017</v>
      </c>
      <c r="F18" s="168">
        <f>+'INCOME STATEMENT'!K68</f>
        <v>-106.3</v>
      </c>
    </row>
    <row r="19" spans="2:6" ht="15.75">
      <c r="B19" s="166" t="s">
        <v>277</v>
      </c>
      <c r="C19" s="168">
        <f>+C13/C17</f>
        <v>0.5334057577403586</v>
      </c>
      <c r="D19" s="168">
        <f>+D13/D17</f>
        <v>1.0717108977978536</v>
      </c>
      <c r="E19" s="168">
        <f>+E13/E17</f>
        <v>1.1022021456804068</v>
      </c>
      <c r="F19" s="168">
        <f>+F13/F17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pageSetUpPr fitToPage="1"/>
  </sheetPr>
  <dimension ref="A1:S490"/>
  <sheetViews>
    <sheetView zoomScale="75" zoomScaleNormal="75" workbookViewId="0" topLeftCell="A8">
      <pane xSplit="1" topLeftCell="B1" activePane="topRight" state="frozen"/>
      <selection pane="topLeft" activeCell="A8" sqref="A8"/>
      <selection pane="topRight" activeCell="A8" sqref="A8:Q68"/>
    </sheetView>
  </sheetViews>
  <sheetFormatPr defaultColWidth="9.625" defaultRowHeight="15.75" customHeight="1"/>
  <cols>
    <col min="1" max="1" width="21.00390625" style="31" customWidth="1"/>
    <col min="2" max="2" width="1.875" style="31" hidden="1" customWidth="1"/>
    <col min="3" max="3" width="9.625" style="31" hidden="1" customWidth="1"/>
    <col min="4" max="4" width="7.625" style="93" hidden="1" customWidth="1"/>
    <col min="5" max="5" width="9.625" style="31" hidden="1" customWidth="1"/>
    <col min="6" max="6" width="7.625" style="93" hidden="1" customWidth="1"/>
    <col min="7" max="7" width="9.625" style="31" hidden="1" customWidth="1"/>
    <col min="8" max="8" width="7.625" style="91" hidden="1" customWidth="1"/>
    <col min="9" max="9" width="9.625" style="31" customWidth="1"/>
    <col min="10" max="10" width="7.625" style="91" customWidth="1"/>
    <col min="11" max="11" width="4.25390625" style="31" customWidth="1"/>
    <col min="12" max="12" width="11.75390625" style="31" bestFit="1" customWidth="1"/>
    <col min="13" max="13" width="3.75390625" style="31" customWidth="1"/>
    <col min="14" max="14" width="9.75390625" style="92" customWidth="1"/>
    <col min="15" max="15" width="10.50390625" style="92" bestFit="1" customWidth="1"/>
    <col min="16" max="16" width="7.50390625" style="91" bestFit="1" customWidth="1"/>
    <col min="17" max="17" width="7.625" style="31" customWidth="1"/>
    <col min="18" max="16384" width="14.50390625" style="31" customWidth="1"/>
  </cols>
  <sheetData>
    <row r="1" spans="1:18" ht="15.75" customHeight="1">
      <c r="A1" s="44" t="s">
        <v>0</v>
      </c>
      <c r="B1" s="44"/>
      <c r="C1" s="45"/>
      <c r="D1" s="44"/>
      <c r="E1" s="45"/>
      <c r="F1" s="44"/>
      <c r="G1" s="46" t="s">
        <v>238</v>
      </c>
      <c r="H1" s="45"/>
      <c r="I1" s="44"/>
      <c r="J1" s="45"/>
      <c r="K1" s="44"/>
      <c r="L1" s="44"/>
      <c r="M1" s="44"/>
      <c r="N1" s="47"/>
      <c r="O1" s="47"/>
      <c r="P1" s="45"/>
      <c r="Q1" s="44"/>
      <c r="R1" s="44"/>
    </row>
    <row r="2" spans="1:18" ht="15.75" customHeight="1">
      <c r="A2" s="44" t="s">
        <v>1</v>
      </c>
      <c r="B2" s="44"/>
      <c r="C2" s="45"/>
      <c r="D2" s="44"/>
      <c r="E2" s="45"/>
      <c r="F2" s="44"/>
      <c r="G2" s="47"/>
      <c r="H2" s="45"/>
      <c r="I2" s="44"/>
      <c r="J2" s="45"/>
      <c r="K2" s="44"/>
      <c r="L2" s="44"/>
      <c r="M2" s="44"/>
      <c r="N2" s="47"/>
      <c r="O2" s="47"/>
      <c r="P2" s="45"/>
      <c r="Q2" s="44"/>
      <c r="R2" s="44"/>
    </row>
    <row r="3" spans="1:18" ht="15.75" customHeight="1">
      <c r="A3" s="44"/>
      <c r="B3" s="44"/>
      <c r="C3" s="45"/>
      <c r="D3" s="44"/>
      <c r="E3" s="45"/>
      <c r="F3" s="44"/>
      <c r="G3" s="47"/>
      <c r="H3" s="45"/>
      <c r="I3" s="44"/>
      <c r="J3" s="45"/>
      <c r="K3" s="44"/>
      <c r="L3" s="44"/>
      <c r="M3" s="44"/>
      <c r="N3" s="47"/>
      <c r="O3" s="47"/>
      <c r="P3" s="45"/>
      <c r="Q3" s="44"/>
      <c r="R3" s="44"/>
    </row>
    <row r="4" spans="1:18" ht="15.75" customHeight="1">
      <c r="A4" s="44"/>
      <c r="B4" s="44"/>
      <c r="C4" s="45"/>
      <c r="D4" s="44" t="s">
        <v>2</v>
      </c>
      <c r="E4" s="45" t="s">
        <v>2</v>
      </c>
      <c r="F4" s="44"/>
      <c r="G4" s="47"/>
      <c r="H4" s="45"/>
      <c r="I4" s="44"/>
      <c r="J4" s="45"/>
      <c r="K4" s="44"/>
      <c r="L4" s="44"/>
      <c r="M4" s="44"/>
      <c r="N4" s="47"/>
      <c r="O4" s="47" t="s">
        <v>5</v>
      </c>
      <c r="P4" s="48"/>
      <c r="Q4" s="49"/>
      <c r="R4" s="44"/>
    </row>
    <row r="5" spans="1:18" ht="15.75" customHeight="1">
      <c r="A5" s="50" t="s">
        <v>2</v>
      </c>
      <c r="B5" s="31" t="s">
        <v>2</v>
      </c>
      <c r="C5" s="45"/>
      <c r="D5" s="44"/>
      <c r="E5" s="45" t="s">
        <v>2</v>
      </c>
      <c r="F5" s="44"/>
      <c r="G5" s="50"/>
      <c r="H5" s="45"/>
      <c r="I5" s="44"/>
      <c r="J5" s="45"/>
      <c r="K5" s="44"/>
      <c r="L5" s="44"/>
      <c r="M5" s="44"/>
      <c r="N5" s="44"/>
      <c r="O5" s="44"/>
      <c r="P5" s="45"/>
      <c r="Q5" s="44"/>
      <c r="R5" s="44"/>
    </row>
    <row r="6" spans="1:18" ht="15.75" customHeight="1">
      <c r="A6" s="44" t="s">
        <v>3</v>
      </c>
      <c r="B6" s="31" t="s">
        <v>2</v>
      </c>
      <c r="C6" s="44"/>
      <c r="D6" s="44"/>
      <c r="E6" s="44" t="s">
        <v>2</v>
      </c>
      <c r="F6" s="44"/>
      <c r="G6" s="44" t="s">
        <v>2</v>
      </c>
      <c r="H6" s="45"/>
      <c r="I6" s="44" t="s">
        <v>2</v>
      </c>
      <c r="J6" s="45" t="s">
        <v>2</v>
      </c>
      <c r="K6" s="44"/>
      <c r="L6" s="44"/>
      <c r="M6" s="44"/>
      <c r="N6" s="47" t="s">
        <v>4</v>
      </c>
      <c r="O6" s="51">
        <f ca="1">NOW()</f>
        <v>39462.406190277776</v>
      </c>
      <c r="P6" s="45"/>
      <c r="Q6" s="44"/>
      <c r="R6" s="44"/>
    </row>
    <row r="7" spans="1:18" ht="15.75" customHeight="1">
      <c r="A7" s="44" t="s">
        <v>236</v>
      </c>
      <c r="B7" s="31" t="s">
        <v>2</v>
      </c>
      <c r="C7" s="44"/>
      <c r="D7" s="44"/>
      <c r="E7" s="44"/>
      <c r="F7" s="44" t="s">
        <v>237</v>
      </c>
      <c r="G7" s="52">
        <v>36160</v>
      </c>
      <c r="H7" s="45"/>
      <c r="I7" s="44"/>
      <c r="J7" s="45"/>
      <c r="K7" s="44"/>
      <c r="L7" s="44"/>
      <c r="M7" s="44"/>
      <c r="N7" s="47" t="s">
        <v>6</v>
      </c>
      <c r="O7" s="53">
        <f ca="1">NOW()</f>
        <v>39462.406190277776</v>
      </c>
      <c r="P7" s="45"/>
      <c r="Q7" s="44"/>
      <c r="R7" s="44"/>
    </row>
    <row r="8" spans="1:18" ht="15.75" customHeight="1">
      <c r="A8" s="54" t="s">
        <v>7</v>
      </c>
      <c r="B8" s="55"/>
      <c r="C8" s="56">
        <v>36891</v>
      </c>
      <c r="D8" s="57"/>
      <c r="E8" s="56">
        <v>37256</v>
      </c>
      <c r="F8" s="57"/>
      <c r="G8" s="56">
        <v>37621</v>
      </c>
      <c r="H8" s="57"/>
      <c r="I8" s="56">
        <f>+'BALANCE SHEET'!I8</f>
        <v>37894</v>
      </c>
      <c r="J8" s="57"/>
      <c r="K8" s="55"/>
      <c r="L8" s="55" t="s">
        <v>2</v>
      </c>
      <c r="M8" s="55"/>
      <c r="N8" s="58"/>
      <c r="O8" s="58"/>
      <c r="P8" s="59"/>
      <c r="Q8" s="60"/>
      <c r="R8" s="44"/>
    </row>
    <row r="9" spans="1:18" ht="15.75" customHeight="1">
      <c r="A9" s="61" t="s">
        <v>8</v>
      </c>
      <c r="B9" s="44"/>
      <c r="C9" s="62" t="s">
        <v>254</v>
      </c>
      <c r="D9" s="62"/>
      <c r="E9" s="62" t="s">
        <v>254</v>
      </c>
      <c r="F9" s="62"/>
      <c r="G9" s="62" t="s">
        <v>254</v>
      </c>
      <c r="H9" s="62"/>
      <c r="I9" s="62" t="str">
        <f>+'BALANCE SHEET'!I9</f>
        <v>F/S</v>
      </c>
      <c r="J9" s="62"/>
      <c r="K9" s="63"/>
      <c r="L9" s="64" t="s">
        <v>9</v>
      </c>
      <c r="M9" s="63"/>
      <c r="N9" s="65" t="s">
        <v>10</v>
      </c>
      <c r="O9" s="65" t="s">
        <v>11</v>
      </c>
      <c r="P9" s="66" t="s">
        <v>12</v>
      </c>
      <c r="Q9" s="67" t="s">
        <v>13</v>
      </c>
      <c r="R9" s="44"/>
    </row>
    <row r="10" spans="1:18" ht="15.75" customHeight="1">
      <c r="A10" s="68" t="s">
        <v>14</v>
      </c>
      <c r="B10" s="49"/>
      <c r="C10" s="69">
        <v>12</v>
      </c>
      <c r="D10" s="69" t="s">
        <v>262</v>
      </c>
      <c r="E10" s="69">
        <f>DAYS360(C8,E8)/30</f>
        <v>12</v>
      </c>
      <c r="F10" s="69" t="s">
        <v>262</v>
      </c>
      <c r="G10" s="69">
        <f>DAYS360(E8,G8)/30</f>
        <v>12</v>
      </c>
      <c r="H10" s="69" t="s">
        <v>262</v>
      </c>
      <c r="I10" s="69">
        <f>DAYS360(G8,I8)/30</f>
        <v>9</v>
      </c>
      <c r="J10" s="69" t="s">
        <v>262</v>
      </c>
      <c r="K10" s="49"/>
      <c r="L10" s="49" t="s">
        <v>2</v>
      </c>
      <c r="M10" s="49"/>
      <c r="N10" s="70"/>
      <c r="O10" s="70"/>
      <c r="P10" s="48"/>
      <c r="Q10" s="71"/>
      <c r="R10" s="44"/>
    </row>
    <row r="11" spans="1:18" ht="15.75" customHeight="1">
      <c r="A11" s="72" t="s">
        <v>15</v>
      </c>
      <c r="B11" s="73"/>
      <c r="C11" s="74" t="s">
        <v>16</v>
      </c>
      <c r="D11" s="74" t="s">
        <v>12</v>
      </c>
      <c r="E11" s="75" t="s">
        <v>16</v>
      </c>
      <c r="F11" s="75" t="s">
        <v>12</v>
      </c>
      <c r="G11" s="75" t="s">
        <v>16</v>
      </c>
      <c r="H11" s="76" t="s">
        <v>12</v>
      </c>
      <c r="I11" s="75" t="s">
        <v>16</v>
      </c>
      <c r="J11" s="76" t="s">
        <v>12</v>
      </c>
      <c r="K11" s="75"/>
      <c r="L11" s="75"/>
      <c r="M11" s="75"/>
      <c r="N11" s="77"/>
      <c r="O11" s="77"/>
      <c r="P11" s="76"/>
      <c r="Q11" s="78"/>
      <c r="R11" s="44"/>
    </row>
    <row r="12" spans="1:18" ht="15.75" customHeight="1">
      <c r="A12" s="44" t="s">
        <v>17</v>
      </c>
      <c r="B12" s="44"/>
      <c r="C12" s="79">
        <v>0</v>
      </c>
      <c r="D12" s="80" t="str">
        <f aca="true" t="shared" si="0" ref="D12:D43">IF(C12&gt;0,+C12/$C$40," ")</f>
        <v> </v>
      </c>
      <c r="E12" s="79">
        <v>0</v>
      </c>
      <c r="F12" s="80" t="str">
        <f aca="true" t="shared" si="1" ref="F12:F43">IF(E12&gt;0,+E12/$E$40," ")</f>
        <v> </v>
      </c>
      <c r="G12" s="79">
        <v>0</v>
      </c>
      <c r="H12" s="80" t="str">
        <f aca="true" t="shared" si="2" ref="H12:H43">IF(G12&gt;0,+G12/$G$40," ")</f>
        <v> </v>
      </c>
      <c r="I12" s="79">
        <f>+'BALANCE SHEET'!I12</f>
        <v>16.6</v>
      </c>
      <c r="J12" s="80">
        <f aca="true" t="shared" si="3" ref="J12:J20">IF(I12&gt;0,+I12/$I$40," ")</f>
        <v>0.007105860194340997</v>
      </c>
      <c r="K12" s="81"/>
      <c r="L12" s="79">
        <v>0</v>
      </c>
      <c r="M12" s="82"/>
      <c r="N12" s="79">
        <v>0</v>
      </c>
      <c r="O12" s="79">
        <f aca="true" t="shared" si="4" ref="O12:O40">I12+L12-N12</f>
        <v>16.6</v>
      </c>
      <c r="P12" s="80">
        <f aca="true" t="shared" si="5" ref="P12:P43">IF(O12&gt;0,+O12/$O$40," ")</f>
        <v>0.004090584263571622</v>
      </c>
      <c r="Q12" s="83">
        <f>+'BALANCE SHEET'!Q12</f>
        <v>10.1</v>
      </c>
      <c r="R12" s="44"/>
    </row>
    <row r="13" spans="1:18" ht="15.75" customHeight="1" hidden="1">
      <c r="A13" s="44" t="s">
        <v>18</v>
      </c>
      <c r="B13" s="44"/>
      <c r="C13" s="79"/>
      <c r="D13" s="80" t="str">
        <f t="shared" si="0"/>
        <v> </v>
      </c>
      <c r="E13" s="79"/>
      <c r="F13" s="80" t="str">
        <f t="shared" si="1"/>
        <v> </v>
      </c>
      <c r="G13" s="79"/>
      <c r="H13" s="80" t="str">
        <f t="shared" si="2"/>
        <v> </v>
      </c>
      <c r="I13" s="79"/>
      <c r="J13" s="80" t="str">
        <f t="shared" si="3"/>
        <v> </v>
      </c>
      <c r="K13" s="81"/>
      <c r="L13" s="79">
        <v>0</v>
      </c>
      <c r="M13" s="82"/>
      <c r="N13" s="79"/>
      <c r="O13" s="79">
        <f t="shared" si="4"/>
        <v>0</v>
      </c>
      <c r="P13" s="80" t="str">
        <f t="shared" si="5"/>
        <v> </v>
      </c>
      <c r="Q13" s="83"/>
      <c r="R13" s="44"/>
    </row>
    <row r="14" spans="1:18" ht="15.75" customHeight="1" hidden="1">
      <c r="A14" s="44" t="s">
        <v>19</v>
      </c>
      <c r="B14" s="44"/>
      <c r="C14" s="79">
        <f>SUM(C12:C13)</f>
        <v>0</v>
      </c>
      <c r="D14" s="80" t="str">
        <f t="shared" si="0"/>
        <v> </v>
      </c>
      <c r="E14" s="79">
        <f>SUM(E12:E13)</f>
        <v>0</v>
      </c>
      <c r="F14" s="80" t="str">
        <f t="shared" si="1"/>
        <v> </v>
      </c>
      <c r="G14" s="79">
        <f>SUM(G12:G13)</f>
        <v>0</v>
      </c>
      <c r="H14" s="80" t="str">
        <f t="shared" si="2"/>
        <v> </v>
      </c>
      <c r="I14" s="79">
        <f>SUM(I12:I13)</f>
        <v>16.6</v>
      </c>
      <c r="J14" s="80">
        <f t="shared" si="3"/>
        <v>0.007105860194340997</v>
      </c>
      <c r="K14" s="81"/>
      <c r="L14" s="79">
        <f>SUM(L12:L13)</f>
        <v>0</v>
      </c>
      <c r="M14" s="82"/>
      <c r="N14" s="79">
        <f>SUM(N12:N13)</f>
        <v>0</v>
      </c>
      <c r="O14" s="79">
        <f t="shared" si="4"/>
        <v>16.6</v>
      </c>
      <c r="P14" s="80">
        <f t="shared" si="5"/>
        <v>0.004090584263571622</v>
      </c>
      <c r="Q14" s="83"/>
      <c r="R14" s="44"/>
    </row>
    <row r="15" spans="1:18" ht="15.75" customHeight="1">
      <c r="A15" s="44" t="s">
        <v>20</v>
      </c>
      <c r="B15" s="44"/>
      <c r="C15" s="79">
        <v>0</v>
      </c>
      <c r="D15" s="80" t="str">
        <f t="shared" si="0"/>
        <v> </v>
      </c>
      <c r="E15" s="79">
        <v>0</v>
      </c>
      <c r="F15" s="80" t="str">
        <f t="shared" si="1"/>
        <v> </v>
      </c>
      <c r="G15" s="79">
        <v>0</v>
      </c>
      <c r="H15" s="80" t="str">
        <f t="shared" si="2"/>
        <v> </v>
      </c>
      <c r="I15" s="79">
        <f>+'BALANCE SHEET'!I15</f>
        <v>1285.8</v>
      </c>
      <c r="J15" s="80">
        <f t="shared" si="3"/>
        <v>0.5504045203544369</v>
      </c>
      <c r="K15" s="81"/>
      <c r="L15" s="79">
        <v>0</v>
      </c>
      <c r="M15" s="82"/>
      <c r="N15" s="79"/>
      <c r="O15" s="79">
        <f t="shared" si="4"/>
        <v>1285.8</v>
      </c>
      <c r="P15" s="80">
        <f t="shared" si="5"/>
        <v>0.31684778590966217</v>
      </c>
      <c r="Q15" s="83">
        <f>+'BALANCE SHEET'!Q15</f>
        <v>13.8</v>
      </c>
      <c r="R15" s="44"/>
    </row>
    <row r="16" spans="1:18" ht="15.75" customHeight="1" hidden="1">
      <c r="A16" s="44" t="s">
        <v>21</v>
      </c>
      <c r="B16" s="44"/>
      <c r="C16" s="79"/>
      <c r="D16" s="80" t="str">
        <f t="shared" si="0"/>
        <v> </v>
      </c>
      <c r="E16" s="79"/>
      <c r="F16" s="80" t="str">
        <f t="shared" si="1"/>
        <v> </v>
      </c>
      <c r="G16" s="79"/>
      <c r="H16" s="80" t="str">
        <f t="shared" si="2"/>
        <v> </v>
      </c>
      <c r="I16" s="79"/>
      <c r="J16" s="80" t="str">
        <f t="shared" si="3"/>
        <v> </v>
      </c>
      <c r="K16" s="81"/>
      <c r="L16" s="79"/>
      <c r="M16" s="82"/>
      <c r="N16" s="79"/>
      <c r="O16" s="79">
        <f t="shared" si="4"/>
        <v>0</v>
      </c>
      <c r="P16" s="80" t="str">
        <f t="shared" si="5"/>
        <v> </v>
      </c>
      <c r="Q16" s="83"/>
      <c r="R16" s="44"/>
    </row>
    <row r="17" spans="1:18" ht="15.75" customHeight="1" hidden="1">
      <c r="A17" s="44" t="s">
        <v>22</v>
      </c>
      <c r="B17" s="44"/>
      <c r="C17" s="84">
        <f>C15-C16</f>
        <v>0</v>
      </c>
      <c r="D17" s="80" t="str">
        <f t="shared" si="0"/>
        <v> </v>
      </c>
      <c r="E17" s="84">
        <f>E15-E16</f>
        <v>0</v>
      </c>
      <c r="F17" s="80" t="str">
        <f t="shared" si="1"/>
        <v> </v>
      </c>
      <c r="G17" s="84">
        <f>G15-G16</f>
        <v>0</v>
      </c>
      <c r="H17" s="80" t="str">
        <f t="shared" si="2"/>
        <v> </v>
      </c>
      <c r="I17" s="84">
        <f>I15-I16</f>
        <v>1285.8</v>
      </c>
      <c r="J17" s="80">
        <f t="shared" si="3"/>
        <v>0.5504045203544369</v>
      </c>
      <c r="K17" s="85" t="s">
        <v>27</v>
      </c>
      <c r="L17" s="84">
        <f>L15-L16</f>
        <v>0</v>
      </c>
      <c r="M17" s="86"/>
      <c r="N17" s="84">
        <f>N15-N16</f>
        <v>0</v>
      </c>
      <c r="O17" s="84">
        <f t="shared" si="4"/>
        <v>1285.8</v>
      </c>
      <c r="P17" s="80">
        <f t="shared" si="5"/>
        <v>0.31684778590966217</v>
      </c>
      <c r="Q17" s="83"/>
      <c r="R17" s="44"/>
    </row>
    <row r="18" spans="1:18" ht="15.75" customHeight="1" hidden="1">
      <c r="A18" s="44" t="s">
        <v>232</v>
      </c>
      <c r="B18" s="44"/>
      <c r="C18" s="79"/>
      <c r="D18" s="80" t="str">
        <f t="shared" si="0"/>
        <v> </v>
      </c>
      <c r="E18" s="79"/>
      <c r="F18" s="80" t="str">
        <f t="shared" si="1"/>
        <v> </v>
      </c>
      <c r="G18" s="79"/>
      <c r="H18" s="80" t="str">
        <f t="shared" si="2"/>
        <v> </v>
      </c>
      <c r="I18" s="79"/>
      <c r="J18" s="80" t="str">
        <f t="shared" si="3"/>
        <v> </v>
      </c>
      <c r="K18" s="81"/>
      <c r="L18" s="79">
        <v>0</v>
      </c>
      <c r="M18" s="82"/>
      <c r="N18" s="79"/>
      <c r="O18" s="79">
        <f t="shared" si="4"/>
        <v>0</v>
      </c>
      <c r="P18" s="80" t="str">
        <f t="shared" si="5"/>
        <v> </v>
      </c>
      <c r="Q18" s="83"/>
      <c r="R18" s="44"/>
    </row>
    <row r="19" spans="1:18" ht="15.75" customHeight="1">
      <c r="A19" s="44" t="s">
        <v>23</v>
      </c>
      <c r="B19" s="44"/>
      <c r="C19" s="79">
        <v>0</v>
      </c>
      <c r="D19" s="80" t="str">
        <f t="shared" si="0"/>
        <v> </v>
      </c>
      <c r="E19" s="79">
        <v>0</v>
      </c>
      <c r="F19" s="80" t="str">
        <f t="shared" si="1"/>
        <v> </v>
      </c>
      <c r="G19" s="79">
        <v>0</v>
      </c>
      <c r="H19" s="80" t="str">
        <f t="shared" si="2"/>
        <v> </v>
      </c>
      <c r="I19" s="79">
        <f>+'BALANCE SHEET'!I19</f>
        <v>882.7</v>
      </c>
      <c r="J19" s="80">
        <f t="shared" si="3"/>
        <v>0.3778519755147468</v>
      </c>
      <c r="K19" s="81"/>
      <c r="L19" s="79"/>
      <c r="M19" s="82"/>
      <c r="N19" s="79"/>
      <c r="O19" s="79">
        <f t="shared" si="4"/>
        <v>882.7</v>
      </c>
      <c r="P19" s="80">
        <f t="shared" si="5"/>
        <v>0.21751558611172717</v>
      </c>
      <c r="Q19" s="83">
        <f>+'BALANCE SHEET'!Q19</f>
        <v>42.9</v>
      </c>
      <c r="R19" s="44"/>
    </row>
    <row r="20" spans="1:18" ht="15.75" customHeight="1" hidden="1">
      <c r="A20" s="44" t="s">
        <v>24</v>
      </c>
      <c r="B20" s="44"/>
      <c r="C20" s="79">
        <v>0</v>
      </c>
      <c r="D20" s="80" t="str">
        <f t="shared" si="0"/>
        <v> </v>
      </c>
      <c r="E20" s="79">
        <v>0</v>
      </c>
      <c r="F20" s="80" t="str">
        <f t="shared" si="1"/>
        <v> </v>
      </c>
      <c r="G20" s="79">
        <v>0</v>
      </c>
      <c r="H20" s="80" t="str">
        <f t="shared" si="2"/>
        <v> </v>
      </c>
      <c r="I20" s="79">
        <f>+'BALANCE SHEET'!I20</f>
        <v>0</v>
      </c>
      <c r="J20" s="80" t="str">
        <f t="shared" si="3"/>
        <v> </v>
      </c>
      <c r="K20" s="81"/>
      <c r="L20" s="79">
        <v>0</v>
      </c>
      <c r="M20" s="82"/>
      <c r="N20" s="79">
        <v>0</v>
      </c>
      <c r="O20" s="79">
        <f t="shared" si="4"/>
        <v>0</v>
      </c>
      <c r="P20" s="80" t="str">
        <f t="shared" si="5"/>
        <v> </v>
      </c>
      <c r="Q20" s="83">
        <f>+'BALANCE SHEET'!Q20</f>
        <v>0</v>
      </c>
      <c r="R20" s="44"/>
    </row>
    <row r="21" spans="1:18" ht="15.75" customHeight="1">
      <c r="A21" s="44" t="s">
        <v>25</v>
      </c>
      <c r="B21" s="44"/>
      <c r="C21" s="84">
        <f>C14+C17+C18+C19+C20</f>
        <v>0</v>
      </c>
      <c r="D21" s="80" t="str">
        <f t="shared" si="0"/>
        <v> </v>
      </c>
      <c r="E21" s="84">
        <f>E14+E17+E18+E19+E20</f>
        <v>0</v>
      </c>
      <c r="F21" s="80" t="str">
        <f t="shared" si="1"/>
        <v> </v>
      </c>
      <c r="G21" s="84">
        <f>G14+G17+G18+G19+G20</f>
        <v>0</v>
      </c>
      <c r="H21" s="80" t="str">
        <f t="shared" si="2"/>
        <v> </v>
      </c>
      <c r="I21" s="84">
        <f>I14+I17+I18+I19+I20</f>
        <v>2185.1</v>
      </c>
      <c r="J21" s="80" t="b">
        <f>L20=IF(I21&gt;0,+I21/$I$40," ")</f>
        <v>0</v>
      </c>
      <c r="K21" s="85"/>
      <c r="L21" s="84">
        <f>L14+L17+L18+L19+L20</f>
        <v>0</v>
      </c>
      <c r="M21" s="86"/>
      <c r="N21" s="84">
        <f>N14+N17+N18+N19+N20</f>
        <v>0</v>
      </c>
      <c r="O21" s="84">
        <f t="shared" si="4"/>
        <v>2185.1</v>
      </c>
      <c r="P21" s="80">
        <f t="shared" si="5"/>
        <v>0.538453956284961</v>
      </c>
      <c r="Q21" s="83">
        <f>+'BALANCE SHEET'!Q21</f>
        <v>0</v>
      </c>
      <c r="R21" s="44"/>
    </row>
    <row r="22" spans="1:18" ht="15.75" customHeight="1">
      <c r="A22" s="44" t="s">
        <v>26</v>
      </c>
      <c r="B22" s="44"/>
      <c r="C22" s="79">
        <v>0</v>
      </c>
      <c r="D22" s="80" t="str">
        <f t="shared" si="0"/>
        <v> </v>
      </c>
      <c r="E22" s="79">
        <v>0</v>
      </c>
      <c r="F22" s="80" t="str">
        <f t="shared" si="1"/>
        <v> </v>
      </c>
      <c r="G22" s="79">
        <v>0</v>
      </c>
      <c r="H22" s="80" t="str">
        <f t="shared" si="2"/>
        <v> </v>
      </c>
      <c r="I22" s="79">
        <f>+'BALANCE SHEET'!I22</f>
        <v>0</v>
      </c>
      <c r="J22" s="80" t="str">
        <f aca="true" t="shared" si="6" ref="J22:J68">IF(I22&gt;0,+I22/$I$40," ")</f>
        <v> </v>
      </c>
      <c r="K22" s="81" t="s">
        <v>222</v>
      </c>
      <c r="L22" s="79">
        <f>(SBAApproved+BankApproved+InjectionApproved)/1000</f>
        <v>1715.415</v>
      </c>
      <c r="M22" s="82"/>
      <c r="N22" s="79"/>
      <c r="O22" s="79">
        <f t="shared" si="4"/>
        <v>1715.415</v>
      </c>
      <c r="P22" s="80">
        <f t="shared" si="5"/>
        <v>0.4227138315960671</v>
      </c>
      <c r="Q22" s="83">
        <f>+'BALANCE SHEET'!Q22</f>
        <v>0</v>
      </c>
      <c r="R22" s="44"/>
    </row>
    <row r="23" spans="1:18" ht="15.75" customHeight="1" hidden="1">
      <c r="A23" s="44" t="s">
        <v>28</v>
      </c>
      <c r="B23" s="44"/>
      <c r="C23" s="79"/>
      <c r="D23" s="80" t="str">
        <f t="shared" si="0"/>
        <v> </v>
      </c>
      <c r="E23" s="79"/>
      <c r="F23" s="80" t="str">
        <f t="shared" si="1"/>
        <v> </v>
      </c>
      <c r="G23" s="79"/>
      <c r="H23" s="80" t="str">
        <f t="shared" si="2"/>
        <v> </v>
      </c>
      <c r="I23" s="79"/>
      <c r="J23" s="80" t="str">
        <f t="shared" si="6"/>
        <v> </v>
      </c>
      <c r="K23" s="81"/>
      <c r="L23" s="79">
        <v>0</v>
      </c>
      <c r="M23" s="82"/>
      <c r="N23" s="79">
        <v>0</v>
      </c>
      <c r="O23" s="79">
        <f t="shared" si="4"/>
        <v>0</v>
      </c>
      <c r="P23" s="80" t="str">
        <f t="shared" si="5"/>
        <v> </v>
      </c>
      <c r="Q23" s="83"/>
      <c r="R23" s="44"/>
    </row>
    <row r="24" spans="1:18" ht="15.75" customHeight="1">
      <c r="A24" s="44" t="s">
        <v>29</v>
      </c>
      <c r="B24" s="44"/>
      <c r="C24" s="79">
        <v>0</v>
      </c>
      <c r="D24" s="80" t="str">
        <f t="shared" si="0"/>
        <v> </v>
      </c>
      <c r="E24" s="79">
        <v>0</v>
      </c>
      <c r="F24" s="80" t="str">
        <f t="shared" si="1"/>
        <v> </v>
      </c>
      <c r="G24" s="79">
        <v>0</v>
      </c>
      <c r="H24" s="80" t="str">
        <f t="shared" si="2"/>
        <v> </v>
      </c>
      <c r="I24" s="79">
        <f>+'BALANCE SHEET'!I24</f>
        <v>104.6</v>
      </c>
      <c r="J24" s="80">
        <f t="shared" si="6"/>
        <v>0.044775480501690855</v>
      </c>
      <c r="K24" s="81"/>
      <c r="L24" s="79"/>
      <c r="M24" s="82"/>
      <c r="N24" s="79"/>
      <c r="O24" s="79">
        <f t="shared" si="4"/>
        <v>104.6</v>
      </c>
      <c r="P24" s="80">
        <f t="shared" si="5"/>
        <v>0.025775609275276605</v>
      </c>
      <c r="Q24" s="83">
        <f>+'BALANCE SHEET'!Q24</f>
        <v>0</v>
      </c>
      <c r="R24" s="44"/>
    </row>
    <row r="25" spans="1:18" ht="15.75" customHeight="1">
      <c r="A25" s="44" t="s">
        <v>30</v>
      </c>
      <c r="B25" s="44"/>
      <c r="C25" s="84">
        <f>SUM(C22:C24)</f>
        <v>0</v>
      </c>
      <c r="D25" s="80" t="str">
        <f t="shared" si="0"/>
        <v> </v>
      </c>
      <c r="E25" s="84">
        <f>SUM(E22:E24)</f>
        <v>0</v>
      </c>
      <c r="F25" s="80" t="str">
        <f t="shared" si="1"/>
        <v> </v>
      </c>
      <c r="G25" s="84">
        <f>SUM(G22:G24)</f>
        <v>0</v>
      </c>
      <c r="H25" s="80" t="str">
        <f t="shared" si="2"/>
        <v> </v>
      </c>
      <c r="I25" s="84">
        <f>SUM(I22:I24)</f>
        <v>104.6</v>
      </c>
      <c r="J25" s="80">
        <f t="shared" si="6"/>
        <v>0.044775480501690855</v>
      </c>
      <c r="K25" s="85"/>
      <c r="L25" s="84">
        <f>SUM(L22:L24)</f>
        <v>1715.415</v>
      </c>
      <c r="M25" s="86"/>
      <c r="N25" s="84">
        <f>SUM(N22:N24)</f>
        <v>0</v>
      </c>
      <c r="O25" s="84">
        <f t="shared" si="4"/>
        <v>1820.0149999999999</v>
      </c>
      <c r="P25" s="80">
        <f t="shared" si="5"/>
        <v>0.44848944087134374</v>
      </c>
      <c r="Q25" s="83">
        <f>+'BALANCE SHEET'!Q25</f>
        <v>22</v>
      </c>
      <c r="R25" s="44"/>
    </row>
    <row r="26" spans="1:18" ht="15.75" customHeight="1">
      <c r="A26" s="44" t="s">
        <v>31</v>
      </c>
      <c r="B26" s="44"/>
      <c r="C26" s="79">
        <v>0</v>
      </c>
      <c r="D26" s="80" t="str">
        <f t="shared" si="0"/>
        <v> </v>
      </c>
      <c r="E26" s="79">
        <v>0</v>
      </c>
      <c r="F26" s="80" t="str">
        <f t="shared" si="1"/>
        <v> </v>
      </c>
      <c r="G26" s="79">
        <v>0</v>
      </c>
      <c r="H26" s="80" t="str">
        <f t="shared" si="2"/>
        <v> </v>
      </c>
      <c r="I26" s="79">
        <f>+'BALANCE SHEET'!I26</f>
        <v>48.9</v>
      </c>
      <c r="J26" s="80">
        <f t="shared" si="6"/>
        <v>0.02093232310260691</v>
      </c>
      <c r="K26" s="81"/>
      <c r="L26" s="79"/>
      <c r="M26" s="82"/>
      <c r="N26" s="79"/>
      <c r="O26" s="79">
        <f t="shared" si="4"/>
        <v>48.9</v>
      </c>
      <c r="P26" s="80">
        <f t="shared" si="5"/>
        <v>0.012049974125822429</v>
      </c>
      <c r="Q26" s="83"/>
      <c r="R26" s="44"/>
    </row>
    <row r="27" spans="1:18" ht="15.75" customHeight="1">
      <c r="A27" s="44" t="s">
        <v>32</v>
      </c>
      <c r="B27" s="44"/>
      <c r="C27" s="84">
        <f>C25-C26</f>
        <v>0</v>
      </c>
      <c r="D27" s="80" t="str">
        <f t="shared" si="0"/>
        <v> </v>
      </c>
      <c r="E27" s="84">
        <f>E25-E26</f>
        <v>0</v>
      </c>
      <c r="F27" s="80" t="str">
        <f t="shared" si="1"/>
        <v> </v>
      </c>
      <c r="G27" s="84">
        <f>G25-G26</f>
        <v>0</v>
      </c>
      <c r="H27" s="80" t="str">
        <f t="shared" si="2"/>
        <v> </v>
      </c>
      <c r="I27" s="84">
        <f>I25-I26</f>
        <v>55.699999999999996</v>
      </c>
      <c r="J27" s="80">
        <f t="shared" si="6"/>
        <v>0.023843157399083943</v>
      </c>
      <c r="K27" s="85"/>
      <c r="L27" s="84">
        <f>L25-L26</f>
        <v>1715.415</v>
      </c>
      <c r="M27" s="86"/>
      <c r="N27" s="84">
        <f>N25+N26</f>
        <v>0</v>
      </c>
      <c r="O27" s="84">
        <f t="shared" si="4"/>
        <v>1771.115</v>
      </c>
      <c r="P27" s="80">
        <f t="shared" si="5"/>
        <v>0.4364394667455213</v>
      </c>
      <c r="Q27" s="83">
        <f>+'BALANCE SHEET'!Q27</f>
        <v>0</v>
      </c>
      <c r="R27" s="44"/>
    </row>
    <row r="28" spans="1:18" ht="15.75" customHeight="1">
      <c r="A28" s="44" t="s">
        <v>33</v>
      </c>
      <c r="B28" s="44"/>
      <c r="C28" s="79">
        <v>0</v>
      </c>
      <c r="D28" s="80" t="str">
        <f t="shared" si="0"/>
        <v> </v>
      </c>
      <c r="E28" s="79">
        <v>0</v>
      </c>
      <c r="F28" s="80" t="str">
        <f t="shared" si="1"/>
        <v> </v>
      </c>
      <c r="G28" s="79">
        <v>0</v>
      </c>
      <c r="H28" s="80" t="str">
        <f t="shared" si="2"/>
        <v> </v>
      </c>
      <c r="I28" s="79">
        <f>+'BALANCE SHEET'!I28</f>
        <v>0</v>
      </c>
      <c r="J28" s="80" t="str">
        <f t="shared" si="6"/>
        <v> </v>
      </c>
      <c r="K28" s="81"/>
      <c r="L28" s="79"/>
      <c r="M28" s="82"/>
      <c r="N28" s="79"/>
      <c r="O28" s="79">
        <f t="shared" si="4"/>
        <v>0</v>
      </c>
      <c r="P28" s="80" t="str">
        <f t="shared" si="5"/>
        <v> </v>
      </c>
      <c r="Q28" s="83"/>
      <c r="R28" s="44"/>
    </row>
    <row r="29" spans="1:18" ht="15.75" customHeight="1" hidden="1">
      <c r="A29" s="44" t="s">
        <v>34</v>
      </c>
      <c r="B29" s="44"/>
      <c r="C29" s="79">
        <v>0</v>
      </c>
      <c r="D29" s="80" t="str">
        <f t="shared" si="0"/>
        <v> </v>
      </c>
      <c r="E29" s="79">
        <v>0</v>
      </c>
      <c r="F29" s="80" t="str">
        <f t="shared" si="1"/>
        <v> </v>
      </c>
      <c r="G29" s="79">
        <v>0</v>
      </c>
      <c r="H29" s="80" t="str">
        <f t="shared" si="2"/>
        <v> </v>
      </c>
      <c r="I29" s="79">
        <f>+'BALANCE SHEET'!I29</f>
        <v>0</v>
      </c>
      <c r="J29" s="80" t="str">
        <f t="shared" si="6"/>
        <v> </v>
      </c>
      <c r="K29" s="81"/>
      <c r="L29" s="79"/>
      <c r="M29" s="82"/>
      <c r="N29" s="79"/>
      <c r="O29" s="79">
        <f t="shared" si="4"/>
        <v>0</v>
      </c>
      <c r="P29" s="80" t="str">
        <f t="shared" si="5"/>
        <v> </v>
      </c>
      <c r="Q29" s="83"/>
      <c r="R29" s="44"/>
    </row>
    <row r="30" spans="1:18" ht="15.75" customHeight="1" hidden="1">
      <c r="A30" s="44" t="s">
        <v>35</v>
      </c>
      <c r="B30" s="44"/>
      <c r="C30" s="79">
        <v>0</v>
      </c>
      <c r="D30" s="80" t="str">
        <f t="shared" si="0"/>
        <v> </v>
      </c>
      <c r="E30" s="79">
        <v>0</v>
      </c>
      <c r="F30" s="80" t="str">
        <f t="shared" si="1"/>
        <v> </v>
      </c>
      <c r="G30" s="79">
        <v>0</v>
      </c>
      <c r="H30" s="80" t="str">
        <f t="shared" si="2"/>
        <v> </v>
      </c>
      <c r="I30" s="79">
        <f>+'BALANCE SHEET'!I30</f>
        <v>0</v>
      </c>
      <c r="J30" s="80" t="str">
        <f t="shared" si="6"/>
        <v> </v>
      </c>
      <c r="K30" s="81"/>
      <c r="L30" s="79">
        <v>0</v>
      </c>
      <c r="M30" s="82"/>
      <c r="N30" s="79">
        <v>0</v>
      </c>
      <c r="O30" s="79">
        <f t="shared" si="4"/>
        <v>0</v>
      </c>
      <c r="P30" s="80" t="str">
        <f t="shared" si="5"/>
        <v> </v>
      </c>
      <c r="Q30" s="83"/>
      <c r="R30" s="44"/>
    </row>
    <row r="31" spans="1:18" ht="15.75" customHeight="1" hidden="1">
      <c r="A31" s="44" t="s">
        <v>36</v>
      </c>
      <c r="B31" s="44"/>
      <c r="C31" s="79">
        <v>0</v>
      </c>
      <c r="D31" s="80" t="str">
        <f t="shared" si="0"/>
        <v> </v>
      </c>
      <c r="E31" s="79">
        <v>0</v>
      </c>
      <c r="F31" s="80" t="str">
        <f t="shared" si="1"/>
        <v> </v>
      </c>
      <c r="G31" s="79">
        <v>0</v>
      </c>
      <c r="H31" s="80" t="str">
        <f t="shared" si="2"/>
        <v> </v>
      </c>
      <c r="I31" s="79">
        <f>+'BALANCE SHEET'!I31</f>
        <v>0</v>
      </c>
      <c r="J31" s="80" t="str">
        <f t="shared" si="6"/>
        <v> </v>
      </c>
      <c r="K31" s="81"/>
      <c r="L31" s="79"/>
      <c r="M31" s="82"/>
      <c r="N31" s="79"/>
      <c r="O31" s="79">
        <f t="shared" si="4"/>
        <v>0</v>
      </c>
      <c r="P31" s="80" t="str">
        <f t="shared" si="5"/>
        <v> </v>
      </c>
      <c r="Q31" s="83"/>
      <c r="R31" s="44"/>
    </row>
    <row r="32" spans="1:18" ht="15.75" customHeight="1" hidden="1">
      <c r="A32" s="44" t="s">
        <v>37</v>
      </c>
      <c r="B32" s="44"/>
      <c r="C32" s="84">
        <f>SUM(C28:C31)</f>
        <v>0</v>
      </c>
      <c r="D32" s="80" t="str">
        <f t="shared" si="0"/>
        <v> </v>
      </c>
      <c r="E32" s="84">
        <f>SUM(E28:E31)</f>
        <v>0</v>
      </c>
      <c r="F32" s="80" t="str">
        <f t="shared" si="1"/>
        <v> </v>
      </c>
      <c r="G32" s="84">
        <f>SUM(G28:G31)</f>
        <v>0</v>
      </c>
      <c r="H32" s="80" t="str">
        <f t="shared" si="2"/>
        <v> </v>
      </c>
      <c r="I32" s="84">
        <f>SUM(I28:I31)</f>
        <v>0</v>
      </c>
      <c r="J32" s="80" t="str">
        <f t="shared" si="6"/>
        <v> </v>
      </c>
      <c r="K32" s="85"/>
      <c r="L32" s="84">
        <f>SUM(L28:L31)</f>
        <v>0</v>
      </c>
      <c r="M32" s="86"/>
      <c r="N32" s="84">
        <f>SUM(N28:N31)</f>
        <v>0</v>
      </c>
      <c r="O32" s="84">
        <f t="shared" si="4"/>
        <v>0</v>
      </c>
      <c r="P32" s="80" t="str">
        <f t="shared" si="5"/>
        <v> </v>
      </c>
      <c r="Q32" s="83"/>
      <c r="R32" s="44"/>
    </row>
    <row r="33" spans="1:18" ht="15.75" customHeight="1" hidden="1">
      <c r="A33" s="44" t="s">
        <v>38</v>
      </c>
      <c r="B33" s="44"/>
      <c r="C33" s="79"/>
      <c r="D33" s="80" t="str">
        <f t="shared" si="0"/>
        <v> </v>
      </c>
      <c r="E33" s="79"/>
      <c r="F33" s="80" t="str">
        <f t="shared" si="1"/>
        <v> </v>
      </c>
      <c r="G33" s="79"/>
      <c r="H33" s="80" t="str">
        <f t="shared" si="2"/>
        <v> </v>
      </c>
      <c r="I33" s="79"/>
      <c r="J33" s="80" t="str">
        <f t="shared" si="6"/>
        <v> </v>
      </c>
      <c r="K33" s="81"/>
      <c r="L33" s="79">
        <v>0</v>
      </c>
      <c r="M33" s="82"/>
      <c r="N33" s="79">
        <v>0</v>
      </c>
      <c r="O33" s="79">
        <f t="shared" si="4"/>
        <v>0</v>
      </c>
      <c r="P33" s="80" t="str">
        <f t="shared" si="5"/>
        <v> </v>
      </c>
      <c r="Q33" s="83"/>
      <c r="R33" s="44"/>
    </row>
    <row r="34" spans="1:18" ht="15.75" customHeight="1">
      <c r="A34" s="44" t="s">
        <v>39</v>
      </c>
      <c r="B34" s="44"/>
      <c r="C34" s="79">
        <v>0</v>
      </c>
      <c r="D34" s="80" t="str">
        <f t="shared" si="0"/>
        <v> </v>
      </c>
      <c r="E34" s="79">
        <v>0</v>
      </c>
      <c r="F34" s="80" t="str">
        <f t="shared" si="1"/>
        <v> </v>
      </c>
      <c r="G34" s="79">
        <v>0</v>
      </c>
      <c r="H34" s="80" t="str">
        <f t="shared" si="2"/>
        <v> </v>
      </c>
      <c r="I34" s="79">
        <f>+'BALANCE SHEET'!I34</f>
        <v>11.9</v>
      </c>
      <c r="J34" s="80">
        <f t="shared" si="6"/>
        <v>0.00509396001883481</v>
      </c>
      <c r="K34" s="81"/>
      <c r="L34" s="79"/>
      <c r="M34" s="82"/>
      <c r="N34" s="79"/>
      <c r="O34" s="79">
        <f t="shared" si="4"/>
        <v>11.9</v>
      </c>
      <c r="P34" s="80">
        <f t="shared" si="5"/>
        <v>0.0029324067913555608</v>
      </c>
      <c r="Q34" s="83">
        <f>+'BALANCE SHEET'!Q34</f>
        <v>0</v>
      </c>
      <c r="R34" s="44"/>
    </row>
    <row r="35" spans="1:18" ht="15.75" customHeight="1" hidden="1">
      <c r="A35" s="44" t="s">
        <v>40</v>
      </c>
      <c r="B35" s="44"/>
      <c r="C35" s="79"/>
      <c r="D35" s="80" t="str">
        <f t="shared" si="0"/>
        <v> </v>
      </c>
      <c r="E35" s="79"/>
      <c r="F35" s="80" t="str">
        <f t="shared" si="1"/>
        <v> </v>
      </c>
      <c r="G35" s="79"/>
      <c r="H35" s="80" t="str">
        <f t="shared" si="2"/>
        <v> </v>
      </c>
      <c r="I35" s="79"/>
      <c r="J35" s="80" t="str">
        <f t="shared" si="6"/>
        <v> </v>
      </c>
      <c r="K35" s="81"/>
      <c r="L35" s="79">
        <v>0</v>
      </c>
      <c r="M35" s="82"/>
      <c r="N35" s="79">
        <v>0</v>
      </c>
      <c r="O35" s="79">
        <f t="shared" si="4"/>
        <v>0</v>
      </c>
      <c r="P35" s="80" t="str">
        <f t="shared" si="5"/>
        <v> </v>
      </c>
      <c r="Q35" s="83"/>
      <c r="R35" s="44"/>
    </row>
    <row r="36" spans="1:18" ht="15.75" customHeight="1" hidden="1">
      <c r="A36" s="44" t="s">
        <v>41</v>
      </c>
      <c r="B36" s="44"/>
      <c r="C36" s="79"/>
      <c r="D36" s="80" t="str">
        <f t="shared" si="0"/>
        <v> </v>
      </c>
      <c r="E36" s="79"/>
      <c r="F36" s="80" t="str">
        <f t="shared" si="1"/>
        <v> </v>
      </c>
      <c r="G36" s="79"/>
      <c r="H36" s="80" t="str">
        <f t="shared" si="2"/>
        <v> </v>
      </c>
      <c r="I36" s="79"/>
      <c r="J36" s="80" t="str">
        <f t="shared" si="6"/>
        <v> </v>
      </c>
      <c r="K36" s="81"/>
      <c r="L36" s="79">
        <v>0</v>
      </c>
      <c r="M36" s="82"/>
      <c r="N36" s="79">
        <v>0</v>
      </c>
      <c r="O36" s="79">
        <f t="shared" si="4"/>
        <v>0</v>
      </c>
      <c r="P36" s="80" t="str">
        <f t="shared" si="5"/>
        <v> </v>
      </c>
      <c r="Q36" s="83"/>
      <c r="R36" s="44"/>
    </row>
    <row r="37" spans="1:18" ht="15.75" customHeight="1">
      <c r="A37" s="44" t="s">
        <v>42</v>
      </c>
      <c r="B37" s="44"/>
      <c r="C37" s="79">
        <v>0</v>
      </c>
      <c r="D37" s="80" t="str">
        <f t="shared" si="0"/>
        <v> </v>
      </c>
      <c r="E37" s="79">
        <v>0</v>
      </c>
      <c r="F37" s="80" t="str">
        <f t="shared" si="1"/>
        <v> </v>
      </c>
      <c r="G37" s="79">
        <v>0</v>
      </c>
      <c r="H37" s="80" t="str">
        <f t="shared" si="2"/>
        <v> </v>
      </c>
      <c r="I37" s="79">
        <f>+'BALANCE SHEET'!I37</f>
        <v>0</v>
      </c>
      <c r="J37" s="80" t="str">
        <f t="shared" si="6"/>
        <v> </v>
      </c>
      <c r="K37" s="81"/>
      <c r="L37" s="79"/>
      <c r="M37" s="82"/>
      <c r="N37" s="79"/>
      <c r="O37" s="79">
        <f t="shared" si="4"/>
        <v>0</v>
      </c>
      <c r="P37" s="80" t="str">
        <f t="shared" si="5"/>
        <v> </v>
      </c>
      <c r="Q37" s="83">
        <f>+'BALANCE SHEET'!Q37</f>
        <v>0</v>
      </c>
      <c r="R37" s="44"/>
    </row>
    <row r="38" spans="1:18" ht="15.75" customHeight="1">
      <c r="A38" s="44" t="s">
        <v>43</v>
      </c>
      <c r="B38" s="44"/>
      <c r="C38" s="79">
        <v>0</v>
      </c>
      <c r="D38" s="80" t="str">
        <f t="shared" si="0"/>
        <v> </v>
      </c>
      <c r="E38" s="79">
        <v>0</v>
      </c>
      <c r="F38" s="80" t="str">
        <f t="shared" si="1"/>
        <v> </v>
      </c>
      <c r="G38" s="79">
        <v>0</v>
      </c>
      <c r="H38" s="80" t="str">
        <f t="shared" si="2"/>
        <v> </v>
      </c>
      <c r="I38" s="79">
        <f>+'BALANCE SHEET'!I38</f>
        <v>83.4</v>
      </c>
      <c r="J38" s="80">
        <f t="shared" si="6"/>
        <v>0.03570052651855657</v>
      </c>
      <c r="K38" s="81" t="s">
        <v>27</v>
      </c>
      <c r="L38" s="79">
        <f>(RATIOS!C63-SBAApproved)/1000</f>
        <v>6.585</v>
      </c>
      <c r="M38" s="82"/>
      <c r="N38" s="79"/>
      <c r="O38" s="79">
        <f t="shared" si="4"/>
        <v>89.985</v>
      </c>
      <c r="P38" s="80">
        <f t="shared" si="5"/>
        <v>0.022174170178162193</v>
      </c>
      <c r="Q38" s="83">
        <f>+'BALANCE SHEET'!Q38</f>
        <v>3.1</v>
      </c>
      <c r="R38" s="44"/>
    </row>
    <row r="39" spans="1:18" ht="15.75" customHeight="1" hidden="1">
      <c r="A39" s="44" t="s">
        <v>44</v>
      </c>
      <c r="B39" s="44"/>
      <c r="C39" s="79"/>
      <c r="D39" s="80" t="str">
        <f t="shared" si="0"/>
        <v> </v>
      </c>
      <c r="E39" s="79"/>
      <c r="F39" s="80" t="str">
        <f t="shared" si="1"/>
        <v> </v>
      </c>
      <c r="G39" s="79"/>
      <c r="H39" s="80" t="str">
        <f t="shared" si="2"/>
        <v> </v>
      </c>
      <c r="I39" s="79"/>
      <c r="J39" s="80" t="str">
        <f t="shared" si="6"/>
        <v> </v>
      </c>
      <c r="K39" s="81"/>
      <c r="L39" s="79"/>
      <c r="M39" s="82"/>
      <c r="N39" s="79"/>
      <c r="O39" s="79">
        <f t="shared" si="4"/>
        <v>0</v>
      </c>
      <c r="P39" s="80" t="str">
        <f t="shared" si="5"/>
        <v> </v>
      </c>
      <c r="Q39" s="83"/>
      <c r="R39" s="44"/>
    </row>
    <row r="40" spans="1:18" ht="15.75" customHeight="1">
      <c r="A40" s="44" t="s">
        <v>45</v>
      </c>
      <c r="B40" s="44"/>
      <c r="C40" s="43">
        <f>C21+C27+C32+(SUM(C33:C39))</f>
        <v>0</v>
      </c>
      <c r="D40" s="80" t="str">
        <f t="shared" si="0"/>
        <v> </v>
      </c>
      <c r="E40" s="43">
        <f>E21+E27+E32+(SUM(E33:E39))</f>
        <v>0</v>
      </c>
      <c r="F40" s="80" t="str">
        <f t="shared" si="1"/>
        <v> </v>
      </c>
      <c r="G40" s="43">
        <f>G21+G27+G32+(SUM(G33:G39))</f>
        <v>0</v>
      </c>
      <c r="H40" s="80" t="str">
        <f t="shared" si="2"/>
        <v> </v>
      </c>
      <c r="I40" s="43">
        <f>I21+I27+I32+(SUM(I33:I39))</f>
        <v>2336.1</v>
      </c>
      <c r="J40" s="80">
        <f t="shared" si="6"/>
        <v>1</v>
      </c>
      <c r="K40" s="87"/>
      <c r="L40" s="43">
        <f>L21+L27+L32+(SUM(L33:L39))</f>
        <v>1722</v>
      </c>
      <c r="M40" s="88"/>
      <c r="N40" s="43">
        <f>N21+N27+N32+(SUM(N33:N39))</f>
        <v>0</v>
      </c>
      <c r="O40" s="43">
        <f t="shared" si="4"/>
        <v>4058.1</v>
      </c>
      <c r="P40" s="80">
        <f t="shared" si="5"/>
        <v>1</v>
      </c>
      <c r="Q40" s="89">
        <f>+'BALANCE SHEET'!Q40</f>
        <v>0</v>
      </c>
      <c r="R40" s="44"/>
    </row>
    <row r="41" spans="1:18" ht="15.75" customHeight="1">
      <c r="A41" s="44"/>
      <c r="B41" s="44"/>
      <c r="C41" s="79"/>
      <c r="D41" s="80" t="str">
        <f t="shared" si="0"/>
        <v> </v>
      </c>
      <c r="E41" s="79"/>
      <c r="F41" s="80" t="str">
        <f t="shared" si="1"/>
        <v> </v>
      </c>
      <c r="G41" s="79"/>
      <c r="H41" s="80" t="str">
        <f t="shared" si="2"/>
        <v> </v>
      </c>
      <c r="I41" s="79"/>
      <c r="J41" s="80" t="str">
        <f t="shared" si="6"/>
        <v> </v>
      </c>
      <c r="K41" s="81"/>
      <c r="L41" s="79"/>
      <c r="M41" s="82"/>
      <c r="N41" s="79"/>
      <c r="O41" s="79"/>
      <c r="P41" s="80" t="str">
        <f t="shared" si="5"/>
        <v> </v>
      </c>
      <c r="Q41" s="83"/>
      <c r="R41" s="44"/>
    </row>
    <row r="42" spans="1:18" ht="15.75" customHeight="1">
      <c r="A42" s="44" t="s">
        <v>46</v>
      </c>
      <c r="B42" s="44"/>
      <c r="C42" s="79">
        <v>0</v>
      </c>
      <c r="D42" s="80" t="str">
        <f t="shared" si="0"/>
        <v> </v>
      </c>
      <c r="E42" s="79">
        <v>0</v>
      </c>
      <c r="F42" s="80" t="str">
        <f t="shared" si="1"/>
        <v> </v>
      </c>
      <c r="G42" s="79">
        <v>0</v>
      </c>
      <c r="H42" s="80" t="str">
        <f t="shared" si="2"/>
        <v> </v>
      </c>
      <c r="I42" s="79">
        <f>+'BALANCE SHEET'!I42</f>
        <v>0</v>
      </c>
      <c r="J42" s="80" t="str">
        <f t="shared" si="6"/>
        <v> </v>
      </c>
      <c r="K42" s="81"/>
      <c r="L42" s="79">
        <v>0</v>
      </c>
      <c r="M42" s="82"/>
      <c r="N42" s="79">
        <v>0</v>
      </c>
      <c r="O42" s="79">
        <f aca="true" t="shared" si="7" ref="O42:O67">I42-L42+N42</f>
        <v>0</v>
      </c>
      <c r="P42" s="80" t="str">
        <f t="shared" si="5"/>
        <v> </v>
      </c>
      <c r="Q42" s="83">
        <f>+'BALANCE SHEET'!Q42</f>
        <v>0</v>
      </c>
      <c r="R42" s="44"/>
    </row>
    <row r="43" spans="1:18" ht="15.75" customHeight="1">
      <c r="A43" s="44" t="s">
        <v>233</v>
      </c>
      <c r="B43" s="44"/>
      <c r="C43" s="79">
        <v>0</v>
      </c>
      <c r="D43" s="80" t="str">
        <f t="shared" si="0"/>
        <v> </v>
      </c>
      <c r="E43" s="79">
        <v>0</v>
      </c>
      <c r="F43" s="80" t="str">
        <f t="shared" si="1"/>
        <v> </v>
      </c>
      <c r="G43" s="79">
        <v>0</v>
      </c>
      <c r="H43" s="80" t="str">
        <f t="shared" si="2"/>
        <v> </v>
      </c>
      <c r="I43" s="79">
        <f>+'BALANCE SHEET'!I43</f>
        <v>0</v>
      </c>
      <c r="J43" s="80" t="str">
        <f t="shared" si="6"/>
        <v> </v>
      </c>
      <c r="K43" s="81"/>
      <c r="L43" s="79"/>
      <c r="M43" s="82"/>
      <c r="N43" s="79"/>
      <c r="O43" s="79">
        <f t="shared" si="7"/>
        <v>0</v>
      </c>
      <c r="P43" s="80" t="str">
        <f t="shared" si="5"/>
        <v> </v>
      </c>
      <c r="Q43" s="83">
        <f>+'BALANCE SHEET'!Q43</f>
        <v>0</v>
      </c>
      <c r="R43" s="44"/>
    </row>
    <row r="44" spans="1:18" ht="15.75" customHeight="1">
      <c r="A44" s="44" t="s">
        <v>47</v>
      </c>
      <c r="B44" s="44"/>
      <c r="C44" s="79">
        <v>0</v>
      </c>
      <c r="D44" s="80" t="str">
        <f aca="true" t="shared" si="8" ref="D44:D68">IF(C44&gt;0,+C44/$C$40," ")</f>
        <v> </v>
      </c>
      <c r="E44" s="79">
        <v>0</v>
      </c>
      <c r="F44" s="80" t="str">
        <f aca="true" t="shared" si="9" ref="F44:F68">IF(E44&gt;0,+E44/$E$40," ")</f>
        <v> </v>
      </c>
      <c r="G44" s="79">
        <v>0</v>
      </c>
      <c r="H44" s="80" t="str">
        <f aca="true" t="shared" si="10" ref="H44:H68">IF(G44&gt;0,+G44/$G$40," ")</f>
        <v> </v>
      </c>
      <c r="I44" s="79">
        <f>+'BALANCE SHEET'!I44</f>
        <v>0</v>
      </c>
      <c r="J44" s="80" t="str">
        <f t="shared" si="6"/>
        <v> </v>
      </c>
      <c r="K44" s="81"/>
      <c r="L44" s="79"/>
      <c r="M44" s="82"/>
      <c r="N44" s="79"/>
      <c r="O44" s="79">
        <f t="shared" si="7"/>
        <v>0</v>
      </c>
      <c r="P44" s="80" t="str">
        <f aca="true" t="shared" si="11" ref="P44:P68">IF(O44&gt;0,+O44/$O$40," ")</f>
        <v> </v>
      </c>
      <c r="Q44" s="83"/>
      <c r="R44" s="44"/>
    </row>
    <row r="45" spans="1:18" ht="15.75" customHeight="1">
      <c r="A45" s="44" t="s">
        <v>48</v>
      </c>
      <c r="B45" s="44"/>
      <c r="C45" s="79">
        <v>0</v>
      </c>
      <c r="D45" s="80" t="str">
        <f t="shared" si="8"/>
        <v> </v>
      </c>
      <c r="E45" s="79">
        <v>0</v>
      </c>
      <c r="F45" s="80" t="str">
        <f t="shared" si="9"/>
        <v> </v>
      </c>
      <c r="G45" s="79">
        <v>0</v>
      </c>
      <c r="H45" s="80" t="str">
        <f t="shared" si="10"/>
        <v> </v>
      </c>
      <c r="I45" s="79">
        <f>+'BALANCE SHEET'!I45</f>
        <v>0</v>
      </c>
      <c r="J45" s="80" t="str">
        <f t="shared" si="6"/>
        <v> </v>
      </c>
      <c r="K45" s="81"/>
      <c r="L45" s="79"/>
      <c r="M45" s="82" t="s">
        <v>49</v>
      </c>
      <c r="N45" s="79">
        <f>(PPMT(RATIOS!D45,1,RATIOS!D46,RATIOS!D44)*-1)/1000</f>
        <v>14.718366259917675</v>
      </c>
      <c r="O45" s="79">
        <f t="shared" si="7"/>
        <v>14.718366259917675</v>
      </c>
      <c r="P45" s="80">
        <f t="shared" si="11"/>
        <v>0.003626910687247154</v>
      </c>
      <c r="Q45" s="83">
        <f>+'BALANCE SHEET'!Q45</f>
        <v>0</v>
      </c>
      <c r="R45" s="44"/>
    </row>
    <row r="46" spans="1:18" ht="15.75" customHeight="1">
      <c r="A46" s="44" t="s">
        <v>50</v>
      </c>
      <c r="B46" s="44"/>
      <c r="C46" s="79">
        <v>0</v>
      </c>
      <c r="D46" s="80" t="str">
        <f t="shared" si="8"/>
        <v> </v>
      </c>
      <c r="E46" s="79">
        <v>0</v>
      </c>
      <c r="F46" s="80" t="str">
        <f t="shared" si="9"/>
        <v> </v>
      </c>
      <c r="G46" s="79">
        <v>0</v>
      </c>
      <c r="H46" s="80" t="str">
        <f t="shared" si="10"/>
        <v> </v>
      </c>
      <c r="I46" s="79">
        <f>+'BALANCE SHEET'!I46</f>
        <v>0</v>
      </c>
      <c r="J46" s="80" t="str">
        <f t="shared" si="6"/>
        <v> </v>
      </c>
      <c r="K46" s="81"/>
      <c r="L46" s="79"/>
      <c r="M46" s="82" t="s">
        <v>51</v>
      </c>
      <c r="N46" s="79">
        <f>(PPMT(RATIOS!C45,1,RATIOS!C46,RATIOS!C44)*-1)/1000</f>
        <v>4.057062135013069</v>
      </c>
      <c r="O46" s="79">
        <f t="shared" si="7"/>
        <v>4.057062135013069</v>
      </c>
      <c r="P46" s="80">
        <f t="shared" si="11"/>
        <v>0.0009997442485431777</v>
      </c>
      <c r="Q46" s="83">
        <f>+'BALANCE SHEET'!Q46</f>
        <v>0</v>
      </c>
      <c r="R46" s="44"/>
    </row>
    <row r="47" spans="1:18" ht="15.75" customHeight="1">
      <c r="A47" s="44" t="s">
        <v>52</v>
      </c>
      <c r="B47" s="44"/>
      <c r="C47" s="79">
        <v>0</v>
      </c>
      <c r="D47" s="80" t="str">
        <f t="shared" si="8"/>
        <v> </v>
      </c>
      <c r="E47" s="79">
        <v>0</v>
      </c>
      <c r="F47" s="80" t="str">
        <f t="shared" si="9"/>
        <v> </v>
      </c>
      <c r="G47" s="79">
        <v>0</v>
      </c>
      <c r="H47" s="80" t="str">
        <f t="shared" si="10"/>
        <v> </v>
      </c>
      <c r="I47" s="79">
        <f>+'BALANCE SHEET'!I47</f>
        <v>30.8</v>
      </c>
      <c r="J47" s="80">
        <f t="shared" si="6"/>
        <v>0.01318436710757245</v>
      </c>
      <c r="K47" s="81"/>
      <c r="L47" s="79"/>
      <c r="M47" s="82"/>
      <c r="N47" s="79">
        <v>0</v>
      </c>
      <c r="O47" s="79">
        <f t="shared" si="7"/>
        <v>30.8</v>
      </c>
      <c r="P47" s="80">
        <f t="shared" si="11"/>
        <v>0.007589758754096745</v>
      </c>
      <c r="Q47" s="83">
        <f>+'BALANCE SHEET'!Q47</f>
        <v>0</v>
      </c>
      <c r="R47" s="44"/>
    </row>
    <row r="48" spans="1:18" ht="15.75" customHeight="1">
      <c r="A48" s="44" t="s">
        <v>53</v>
      </c>
      <c r="B48" s="44"/>
      <c r="C48" s="79">
        <v>0</v>
      </c>
      <c r="D48" s="80" t="str">
        <f t="shared" si="8"/>
        <v> </v>
      </c>
      <c r="E48" s="79">
        <v>0</v>
      </c>
      <c r="F48" s="80" t="str">
        <f t="shared" si="9"/>
        <v> </v>
      </c>
      <c r="G48" s="79">
        <v>0</v>
      </c>
      <c r="H48" s="80" t="str">
        <f t="shared" si="10"/>
        <v> </v>
      </c>
      <c r="I48" s="79">
        <f>+'BALANCE SHEET'!I49</f>
        <v>0</v>
      </c>
      <c r="J48" s="80" t="str">
        <f t="shared" si="6"/>
        <v> </v>
      </c>
      <c r="K48" s="81"/>
      <c r="L48" s="79"/>
      <c r="M48" s="82"/>
      <c r="N48" s="79"/>
      <c r="O48" s="79">
        <f t="shared" si="7"/>
        <v>0</v>
      </c>
      <c r="P48" s="80" t="str">
        <f t="shared" si="11"/>
        <v> </v>
      </c>
      <c r="Q48" s="83">
        <f>+'BALANCE SHEET'!Q49</f>
        <v>0</v>
      </c>
      <c r="R48" s="44"/>
    </row>
    <row r="49" spans="1:18" ht="15.75" customHeight="1" hidden="1">
      <c r="A49" s="44" t="s">
        <v>226</v>
      </c>
      <c r="B49" s="44"/>
      <c r="C49" s="79"/>
      <c r="D49" s="80" t="str">
        <f t="shared" si="8"/>
        <v> </v>
      </c>
      <c r="E49" s="79"/>
      <c r="F49" s="80" t="str">
        <f t="shared" si="9"/>
        <v> </v>
      </c>
      <c r="G49" s="79">
        <v>0</v>
      </c>
      <c r="H49" s="80" t="str">
        <f t="shared" si="10"/>
        <v> </v>
      </c>
      <c r="I49" s="79">
        <v>0</v>
      </c>
      <c r="J49" s="80" t="str">
        <f t="shared" si="6"/>
        <v> </v>
      </c>
      <c r="K49" s="81"/>
      <c r="L49" s="79"/>
      <c r="M49" s="82"/>
      <c r="N49" s="79"/>
      <c r="O49" s="79">
        <f t="shared" si="7"/>
        <v>0</v>
      </c>
      <c r="P49" s="80" t="str">
        <f t="shared" si="11"/>
        <v> </v>
      </c>
      <c r="Q49" s="83"/>
      <c r="R49" s="44"/>
    </row>
    <row r="50" spans="1:18" ht="15.75" customHeight="1" hidden="1">
      <c r="A50" s="44" t="s">
        <v>54</v>
      </c>
      <c r="B50" s="44"/>
      <c r="C50" s="79"/>
      <c r="D50" s="80" t="str">
        <f t="shared" si="8"/>
        <v> </v>
      </c>
      <c r="E50" s="79"/>
      <c r="F50" s="80" t="str">
        <f t="shared" si="9"/>
        <v> </v>
      </c>
      <c r="G50" s="79"/>
      <c r="H50" s="80" t="str">
        <f t="shared" si="10"/>
        <v> </v>
      </c>
      <c r="I50" s="79"/>
      <c r="J50" s="80" t="str">
        <f t="shared" si="6"/>
        <v> </v>
      </c>
      <c r="K50" s="81"/>
      <c r="L50" s="79"/>
      <c r="M50" s="82"/>
      <c r="N50" s="79"/>
      <c r="O50" s="79">
        <f t="shared" si="7"/>
        <v>0</v>
      </c>
      <c r="P50" s="80" t="str">
        <f t="shared" si="11"/>
        <v> </v>
      </c>
      <c r="Q50" s="83"/>
      <c r="R50" s="44"/>
    </row>
    <row r="51" spans="1:18" ht="15.75" customHeight="1">
      <c r="A51" s="44" t="s">
        <v>55</v>
      </c>
      <c r="B51" s="44"/>
      <c r="C51" s="79">
        <v>0</v>
      </c>
      <c r="D51" s="80" t="str">
        <f t="shared" si="8"/>
        <v> </v>
      </c>
      <c r="E51" s="79">
        <v>0</v>
      </c>
      <c r="F51" s="80" t="str">
        <f t="shared" si="9"/>
        <v> </v>
      </c>
      <c r="G51" s="79">
        <v>0</v>
      </c>
      <c r="H51" s="80" t="str">
        <f t="shared" si="10"/>
        <v> </v>
      </c>
      <c r="I51" s="79">
        <f>+'BALANCE SHEET'!I52</f>
        <v>2.8</v>
      </c>
      <c r="J51" s="80">
        <f t="shared" si="6"/>
        <v>0.0011985788279611318</v>
      </c>
      <c r="K51" s="81"/>
      <c r="L51" s="79"/>
      <c r="M51" s="82"/>
      <c r="N51" s="79"/>
      <c r="O51" s="79">
        <f t="shared" si="7"/>
        <v>2.8</v>
      </c>
      <c r="P51" s="80">
        <f t="shared" si="11"/>
        <v>0.0006899780685542495</v>
      </c>
      <c r="Q51" s="83">
        <f>+'BALANCE SHEET'!Q52</f>
        <v>0</v>
      </c>
      <c r="R51" s="44"/>
    </row>
    <row r="52" spans="1:18" ht="15.75" customHeight="1">
      <c r="A52" s="44" t="s">
        <v>56</v>
      </c>
      <c r="B52" s="44"/>
      <c r="C52" s="84">
        <f>SUM(C42:C51)</f>
        <v>0</v>
      </c>
      <c r="D52" s="80" t="str">
        <f t="shared" si="8"/>
        <v> </v>
      </c>
      <c r="E52" s="84">
        <f>SUM(E42:E51)</f>
        <v>0</v>
      </c>
      <c r="F52" s="80" t="str">
        <f t="shared" si="9"/>
        <v> </v>
      </c>
      <c r="G52" s="84">
        <f>SUM(G42:G51)</f>
        <v>0</v>
      </c>
      <c r="H52" s="80" t="str">
        <f t="shared" si="10"/>
        <v> </v>
      </c>
      <c r="I52" s="84">
        <f>SUM(I42:I51)</f>
        <v>33.6</v>
      </c>
      <c r="J52" s="80">
        <f t="shared" si="6"/>
        <v>0.014382945935533582</v>
      </c>
      <c r="K52" s="85"/>
      <c r="L52" s="84">
        <f>SUM(L42:L51)</f>
        <v>0</v>
      </c>
      <c r="M52" s="86"/>
      <c r="N52" s="84">
        <f>SUM(N42:N51)</f>
        <v>18.775428394930742</v>
      </c>
      <c r="O52" s="84">
        <f t="shared" si="7"/>
        <v>52.37542839493074</v>
      </c>
      <c r="P52" s="80">
        <f t="shared" si="11"/>
        <v>0.012906391758441325</v>
      </c>
      <c r="Q52" s="83">
        <f>+'BALANCE SHEET'!Q53</f>
        <v>0</v>
      </c>
      <c r="R52" s="44"/>
    </row>
    <row r="53" spans="1:18" ht="15.75" customHeight="1">
      <c r="A53" s="44" t="s">
        <v>57</v>
      </c>
      <c r="B53" s="44"/>
      <c r="C53" s="79">
        <v>0</v>
      </c>
      <c r="D53" s="80" t="str">
        <f t="shared" si="8"/>
        <v> </v>
      </c>
      <c r="E53" s="79">
        <v>0</v>
      </c>
      <c r="F53" s="80" t="str">
        <f t="shared" si="9"/>
        <v> </v>
      </c>
      <c r="G53" s="79">
        <v>0</v>
      </c>
      <c r="H53" s="80" t="str">
        <f t="shared" si="10"/>
        <v> </v>
      </c>
      <c r="I53" s="79">
        <f>+'BALANCE SHEET'!I54</f>
        <v>25.2</v>
      </c>
      <c r="J53" s="80">
        <f t="shared" si="6"/>
        <v>0.010787209451650187</v>
      </c>
      <c r="K53" s="81"/>
      <c r="L53" s="79"/>
      <c r="M53" s="82" t="s">
        <v>49</v>
      </c>
      <c r="N53" s="79">
        <f>RATIOS!D44/1000-N45</f>
        <v>1061.2816337400823</v>
      </c>
      <c r="O53" s="79">
        <f t="shared" si="7"/>
        <v>1086.4816337400823</v>
      </c>
      <c r="P53" s="80">
        <f t="shared" si="11"/>
        <v>0.2677316068455884</v>
      </c>
      <c r="Q53" s="83">
        <f>+'BALANCE SHEET'!Q54</f>
        <v>0</v>
      </c>
      <c r="R53" s="44"/>
    </row>
    <row r="54" spans="1:18" ht="15.75" customHeight="1">
      <c r="A54" s="44" t="s">
        <v>58</v>
      </c>
      <c r="B54" s="44"/>
      <c r="C54" s="79">
        <v>0</v>
      </c>
      <c r="D54" s="80" t="str">
        <f t="shared" si="8"/>
        <v> </v>
      </c>
      <c r="E54" s="79">
        <v>0</v>
      </c>
      <c r="F54" s="80" t="str">
        <f t="shared" si="9"/>
        <v> </v>
      </c>
      <c r="G54" s="79">
        <v>0</v>
      </c>
      <c r="H54" s="80" t="str">
        <f t="shared" si="10"/>
        <v> </v>
      </c>
      <c r="I54" s="79">
        <f>+'BALANCE SHEET'!I55</f>
        <v>0</v>
      </c>
      <c r="J54" s="80" t="str">
        <f t="shared" si="6"/>
        <v> </v>
      </c>
      <c r="K54" s="81"/>
      <c r="L54" s="79"/>
      <c r="M54" s="82" t="s">
        <v>253</v>
      </c>
      <c r="N54" s="79">
        <f>RATIOS!C44/1000-N46+L38</f>
        <v>169.94293786498693</v>
      </c>
      <c r="O54" s="79">
        <f t="shared" si="7"/>
        <v>169.94293786498693</v>
      </c>
      <c r="P54" s="80">
        <f t="shared" si="11"/>
        <v>0.04187746429732804</v>
      </c>
      <c r="Q54" s="83">
        <f>+'BALANCE SHEET'!Q55</f>
        <v>0</v>
      </c>
      <c r="R54" s="44"/>
    </row>
    <row r="55" spans="1:18" ht="15.75" customHeight="1" hidden="1">
      <c r="A55" s="44" t="s">
        <v>231</v>
      </c>
      <c r="B55" s="44"/>
      <c r="C55" s="79"/>
      <c r="D55" s="80" t="str">
        <f t="shared" si="8"/>
        <v> </v>
      </c>
      <c r="E55" s="79"/>
      <c r="F55" s="80" t="str">
        <f t="shared" si="9"/>
        <v> </v>
      </c>
      <c r="G55" s="79"/>
      <c r="H55" s="80" t="str">
        <f t="shared" si="10"/>
        <v> </v>
      </c>
      <c r="I55" s="79">
        <v>0</v>
      </c>
      <c r="J55" s="80" t="str">
        <f t="shared" si="6"/>
        <v> </v>
      </c>
      <c r="K55" s="81"/>
      <c r="L55" s="79"/>
      <c r="M55" s="82"/>
      <c r="N55" s="79"/>
      <c r="O55" s="79">
        <f t="shared" si="7"/>
        <v>0</v>
      </c>
      <c r="P55" s="80" t="str">
        <f t="shared" si="11"/>
        <v> </v>
      </c>
      <c r="Q55" s="83"/>
      <c r="R55" s="44"/>
    </row>
    <row r="56" spans="1:18" ht="15.75" customHeight="1" hidden="1">
      <c r="A56" s="44" t="s">
        <v>59</v>
      </c>
      <c r="B56" s="44"/>
      <c r="C56" s="79"/>
      <c r="D56" s="80" t="str">
        <f t="shared" si="8"/>
        <v> </v>
      </c>
      <c r="E56" s="79"/>
      <c r="F56" s="80" t="str">
        <f t="shared" si="9"/>
        <v> </v>
      </c>
      <c r="G56" s="79"/>
      <c r="H56" s="80" t="str">
        <f t="shared" si="10"/>
        <v> </v>
      </c>
      <c r="I56" s="79"/>
      <c r="J56" s="80" t="str">
        <f t="shared" si="6"/>
        <v> </v>
      </c>
      <c r="K56" s="81"/>
      <c r="L56" s="79"/>
      <c r="M56" s="82"/>
      <c r="N56" s="79"/>
      <c r="O56" s="79">
        <f t="shared" si="7"/>
        <v>0</v>
      </c>
      <c r="P56" s="80" t="str">
        <f t="shared" si="11"/>
        <v> </v>
      </c>
      <c r="Q56" s="83"/>
      <c r="R56" s="44"/>
    </row>
    <row r="57" spans="1:18" ht="15.75" customHeight="1">
      <c r="A57" s="44" t="s">
        <v>60</v>
      </c>
      <c r="B57" s="44"/>
      <c r="C57" s="79"/>
      <c r="D57" s="80" t="str">
        <f t="shared" si="8"/>
        <v> </v>
      </c>
      <c r="E57" s="79"/>
      <c r="F57" s="80" t="str">
        <f t="shared" si="9"/>
        <v> </v>
      </c>
      <c r="G57" s="79"/>
      <c r="H57" s="80" t="str">
        <f t="shared" si="10"/>
        <v> </v>
      </c>
      <c r="I57" s="79">
        <f>+'BALANCE SHEET'!I59</f>
        <v>0</v>
      </c>
      <c r="J57" s="80" t="str">
        <f t="shared" si="6"/>
        <v> </v>
      </c>
      <c r="K57" s="81"/>
      <c r="L57" s="79"/>
      <c r="M57" s="82"/>
      <c r="N57" s="79"/>
      <c r="O57" s="79">
        <f t="shared" si="7"/>
        <v>0</v>
      </c>
      <c r="P57" s="80" t="str">
        <f t="shared" si="11"/>
        <v> </v>
      </c>
      <c r="Q57" s="83"/>
      <c r="R57" s="44"/>
    </row>
    <row r="58" spans="1:18" ht="15.75" customHeight="1">
      <c r="A58" s="44" t="s">
        <v>61</v>
      </c>
      <c r="B58" s="44"/>
      <c r="C58" s="79">
        <v>0</v>
      </c>
      <c r="D58" s="80" t="str">
        <f t="shared" si="8"/>
        <v> </v>
      </c>
      <c r="E58" s="79">
        <v>0</v>
      </c>
      <c r="F58" s="80" t="str">
        <f t="shared" si="9"/>
        <v> </v>
      </c>
      <c r="G58" s="79">
        <v>0</v>
      </c>
      <c r="H58" s="80" t="str">
        <f t="shared" si="10"/>
        <v> </v>
      </c>
      <c r="I58" s="79">
        <f>+'BALANCE SHEET'!I60</f>
        <v>198</v>
      </c>
      <c r="J58" s="80">
        <f t="shared" si="6"/>
        <v>0.08475664569153718</v>
      </c>
      <c r="K58" s="81"/>
      <c r="L58" s="79"/>
      <c r="M58" s="82"/>
      <c r="N58" s="79"/>
      <c r="O58" s="79">
        <f t="shared" si="7"/>
        <v>198</v>
      </c>
      <c r="P58" s="80">
        <f t="shared" si="11"/>
        <v>0.04879130627633622</v>
      </c>
      <c r="Q58" s="83"/>
      <c r="R58" s="44"/>
    </row>
    <row r="59" spans="1:18" ht="15.75" customHeight="1">
      <c r="A59" s="44" t="s">
        <v>62</v>
      </c>
      <c r="B59" s="44"/>
      <c r="C59" s="79"/>
      <c r="D59" s="80" t="str">
        <f t="shared" si="8"/>
        <v> </v>
      </c>
      <c r="E59" s="79"/>
      <c r="F59" s="80" t="str">
        <f t="shared" si="9"/>
        <v> </v>
      </c>
      <c r="G59" s="79"/>
      <c r="H59" s="80" t="str">
        <f t="shared" si="10"/>
        <v> </v>
      </c>
      <c r="I59" s="79">
        <f>+'BALANCE SHEET'!I61</f>
        <v>0</v>
      </c>
      <c r="J59" s="80" t="str">
        <f t="shared" si="6"/>
        <v> </v>
      </c>
      <c r="K59" s="81"/>
      <c r="L59" s="79"/>
      <c r="M59" s="82"/>
      <c r="N59" s="79"/>
      <c r="O59" s="79">
        <f t="shared" si="7"/>
        <v>0</v>
      </c>
      <c r="P59" s="80" t="str">
        <f t="shared" si="11"/>
        <v> </v>
      </c>
      <c r="Q59" s="83"/>
      <c r="R59" s="44"/>
    </row>
    <row r="60" spans="1:18" ht="15.75" customHeight="1">
      <c r="A60" s="44" t="s">
        <v>63</v>
      </c>
      <c r="B60" s="44"/>
      <c r="C60" s="43">
        <f>SUM(C53:C59)+C52</f>
        <v>0</v>
      </c>
      <c r="D60" s="80" t="str">
        <f t="shared" si="8"/>
        <v> </v>
      </c>
      <c r="E60" s="43">
        <f>SUM(E53:E59)+E52</f>
        <v>0</v>
      </c>
      <c r="F60" s="80" t="str">
        <f t="shared" si="9"/>
        <v> </v>
      </c>
      <c r="G60" s="43">
        <f>SUM(G53:G59)+G52</f>
        <v>0</v>
      </c>
      <c r="H60" s="80" t="str">
        <f t="shared" si="10"/>
        <v> </v>
      </c>
      <c r="I60" s="43">
        <f>SUM(I53:I59)+I52</f>
        <v>256.8</v>
      </c>
      <c r="J60" s="80">
        <f t="shared" si="6"/>
        <v>0.10992680107872095</v>
      </c>
      <c r="K60" s="87"/>
      <c r="L60" s="43">
        <f>SUM(L53:L59)+L52</f>
        <v>0</v>
      </c>
      <c r="M60" s="88"/>
      <c r="N60" s="43">
        <f>SUM(N53:N59)+N52</f>
        <v>1250</v>
      </c>
      <c r="O60" s="43">
        <f t="shared" si="7"/>
        <v>1506.8</v>
      </c>
      <c r="P60" s="80">
        <f t="shared" si="11"/>
        <v>0.371306769177694</v>
      </c>
      <c r="Q60" s="89">
        <f>+'BALANCE SHEET'!Q62</f>
        <v>0</v>
      </c>
      <c r="R60" s="44"/>
    </row>
    <row r="61" spans="1:18" ht="15.75" customHeight="1">
      <c r="A61" s="44" t="s">
        <v>64</v>
      </c>
      <c r="B61" s="44"/>
      <c r="C61" s="79">
        <v>0</v>
      </c>
      <c r="D61" s="80" t="str">
        <f t="shared" si="8"/>
        <v> </v>
      </c>
      <c r="E61" s="79">
        <v>0</v>
      </c>
      <c r="F61" s="80" t="str">
        <f t="shared" si="9"/>
        <v> </v>
      </c>
      <c r="G61" s="79">
        <v>0</v>
      </c>
      <c r="H61" s="80" t="str">
        <f t="shared" si="10"/>
        <v> </v>
      </c>
      <c r="I61" s="79">
        <f>+'BALANCE SHEET'!I63</f>
        <v>1</v>
      </c>
      <c r="J61" s="80">
        <f t="shared" si="6"/>
        <v>0.0004280638671289757</v>
      </c>
      <c r="K61" s="81"/>
      <c r="L61" s="79"/>
      <c r="M61" s="82"/>
      <c r="N61" s="79"/>
      <c r="O61" s="79">
        <f t="shared" si="7"/>
        <v>1</v>
      </c>
      <c r="P61" s="80">
        <f t="shared" si="11"/>
        <v>0.00024642073876937485</v>
      </c>
      <c r="Q61" s="83"/>
      <c r="R61" s="44"/>
    </row>
    <row r="62" spans="1:18" ht="15.75" customHeight="1" hidden="1">
      <c r="A62" s="44" t="s">
        <v>65</v>
      </c>
      <c r="B62" s="44"/>
      <c r="C62" s="79"/>
      <c r="D62" s="80" t="str">
        <f t="shared" si="8"/>
        <v> </v>
      </c>
      <c r="E62" s="79"/>
      <c r="F62" s="80" t="str">
        <f t="shared" si="9"/>
        <v> </v>
      </c>
      <c r="G62" s="79"/>
      <c r="H62" s="80" t="str">
        <f t="shared" si="10"/>
        <v> </v>
      </c>
      <c r="I62" s="79"/>
      <c r="J62" s="80" t="str">
        <f t="shared" si="6"/>
        <v> </v>
      </c>
      <c r="K62" s="81"/>
      <c r="L62" s="79"/>
      <c r="M62" s="82"/>
      <c r="N62" s="79"/>
      <c r="O62" s="79">
        <f t="shared" si="7"/>
        <v>0</v>
      </c>
      <c r="P62" s="80" t="str">
        <f t="shared" si="11"/>
        <v> </v>
      </c>
      <c r="Q62" s="83"/>
      <c r="R62" s="44"/>
    </row>
    <row r="63" spans="1:18" ht="15.75" customHeight="1">
      <c r="A63" s="44" t="s">
        <v>66</v>
      </c>
      <c r="B63" s="44"/>
      <c r="C63" s="79">
        <v>0</v>
      </c>
      <c r="D63" s="80" t="str">
        <f t="shared" si="8"/>
        <v> </v>
      </c>
      <c r="E63" s="79">
        <v>0</v>
      </c>
      <c r="F63" s="80" t="str">
        <f t="shared" si="9"/>
        <v> </v>
      </c>
      <c r="G63" s="79">
        <v>0</v>
      </c>
      <c r="H63" s="80" t="str">
        <f t="shared" si="10"/>
        <v> </v>
      </c>
      <c r="I63" s="79">
        <f>+'BALANCE SHEET'!I65</f>
        <v>0</v>
      </c>
      <c r="J63" s="80" t="str">
        <f t="shared" si="6"/>
        <v> </v>
      </c>
      <c r="K63" s="81"/>
      <c r="L63" s="79"/>
      <c r="M63" s="82" t="s">
        <v>67</v>
      </c>
      <c r="N63" s="79">
        <f>InjectionApproved/1000</f>
        <v>472</v>
      </c>
      <c r="O63" s="79">
        <f t="shared" si="7"/>
        <v>472</v>
      </c>
      <c r="P63" s="80">
        <f t="shared" si="11"/>
        <v>0.11631058869914493</v>
      </c>
      <c r="Q63" s="83"/>
      <c r="R63" s="44"/>
    </row>
    <row r="64" spans="1:18" ht="15.75" customHeight="1" hidden="1">
      <c r="A64" s="44" t="s">
        <v>219</v>
      </c>
      <c r="B64" s="44"/>
      <c r="C64" s="79"/>
      <c r="D64" s="80" t="str">
        <f t="shared" si="8"/>
        <v> </v>
      </c>
      <c r="E64" s="79"/>
      <c r="F64" s="80" t="str">
        <f t="shared" si="9"/>
        <v> </v>
      </c>
      <c r="G64" s="79">
        <v>0</v>
      </c>
      <c r="H64" s="80" t="str">
        <f t="shared" si="10"/>
        <v> </v>
      </c>
      <c r="I64" s="79">
        <v>0</v>
      </c>
      <c r="J64" s="80" t="str">
        <f t="shared" si="6"/>
        <v> </v>
      </c>
      <c r="K64" s="81"/>
      <c r="L64" s="79"/>
      <c r="M64" s="82" t="s">
        <v>221</v>
      </c>
      <c r="N64" s="79">
        <v>0</v>
      </c>
      <c r="O64" s="79">
        <f t="shared" si="7"/>
        <v>0</v>
      </c>
      <c r="P64" s="80" t="str">
        <f t="shared" si="11"/>
        <v> </v>
      </c>
      <c r="Q64" s="83"/>
      <c r="R64" s="44"/>
    </row>
    <row r="65" spans="1:18" ht="15.75" customHeight="1" hidden="1">
      <c r="A65" s="44" t="s">
        <v>68</v>
      </c>
      <c r="B65" s="44"/>
      <c r="C65" s="79"/>
      <c r="D65" s="80" t="str">
        <f t="shared" si="8"/>
        <v> </v>
      </c>
      <c r="E65" s="79"/>
      <c r="F65" s="80" t="str">
        <f t="shared" si="9"/>
        <v> </v>
      </c>
      <c r="G65" s="79"/>
      <c r="H65" s="80" t="str">
        <f t="shared" si="10"/>
        <v> </v>
      </c>
      <c r="I65" s="79"/>
      <c r="J65" s="80" t="str">
        <f t="shared" si="6"/>
        <v> </v>
      </c>
      <c r="K65" s="81"/>
      <c r="L65" s="79"/>
      <c r="M65" s="82"/>
      <c r="N65" s="79"/>
      <c r="O65" s="79">
        <f t="shared" si="7"/>
        <v>0</v>
      </c>
      <c r="P65" s="80" t="str">
        <f t="shared" si="11"/>
        <v> </v>
      </c>
      <c r="Q65" s="83"/>
      <c r="R65" s="44"/>
    </row>
    <row r="66" spans="1:18" ht="15.75" customHeight="1">
      <c r="A66" s="44" t="s">
        <v>229</v>
      </c>
      <c r="B66" s="44"/>
      <c r="C66" s="79">
        <v>0</v>
      </c>
      <c r="D66" s="80" t="str">
        <f t="shared" si="8"/>
        <v> </v>
      </c>
      <c r="E66" s="79">
        <v>0</v>
      </c>
      <c r="F66" s="80" t="str">
        <f t="shared" si="9"/>
        <v> </v>
      </c>
      <c r="G66" s="79">
        <v>0</v>
      </c>
      <c r="H66" s="80" t="str">
        <f t="shared" si="10"/>
        <v> </v>
      </c>
      <c r="I66" s="79">
        <f>+'BALANCE SHEET'!I68</f>
        <v>-18.8</v>
      </c>
      <c r="J66" s="80" t="str">
        <f t="shared" si="6"/>
        <v> </v>
      </c>
      <c r="K66" s="81"/>
      <c r="L66" s="79"/>
      <c r="M66" s="82"/>
      <c r="N66" s="79"/>
      <c r="O66" s="79">
        <f t="shared" si="7"/>
        <v>-18.8</v>
      </c>
      <c r="P66" s="80" t="str">
        <f t="shared" si="11"/>
        <v> </v>
      </c>
      <c r="Q66" s="83"/>
      <c r="R66" s="44"/>
    </row>
    <row r="67" spans="1:18" ht="15.75" customHeight="1">
      <c r="A67" s="44" t="s">
        <v>69</v>
      </c>
      <c r="B67" s="44"/>
      <c r="C67" s="84">
        <f>SUM(C61:C66)</f>
        <v>0</v>
      </c>
      <c r="D67" s="80" t="str">
        <f t="shared" si="8"/>
        <v> </v>
      </c>
      <c r="E67" s="84">
        <f>SUM(E61:E66)</f>
        <v>0</v>
      </c>
      <c r="F67" s="80" t="str">
        <f t="shared" si="9"/>
        <v> </v>
      </c>
      <c r="G67" s="84">
        <f>SUM(G61:G66)</f>
        <v>0</v>
      </c>
      <c r="H67" s="80" t="str">
        <f t="shared" si="10"/>
        <v> </v>
      </c>
      <c r="I67" s="84">
        <f>SUM(I61:I66)</f>
        <v>-17.8</v>
      </c>
      <c r="J67" s="80" t="str">
        <f t="shared" si="6"/>
        <v> </v>
      </c>
      <c r="K67" s="85"/>
      <c r="L67" s="84">
        <f>SUM(L61:L66)</f>
        <v>0</v>
      </c>
      <c r="M67" s="86"/>
      <c r="N67" s="84">
        <f>SUM(N61:N66)</f>
        <v>472</v>
      </c>
      <c r="O67" s="84">
        <f t="shared" si="7"/>
        <v>454.2</v>
      </c>
      <c r="P67" s="80">
        <f t="shared" si="11"/>
        <v>0.11192429954905005</v>
      </c>
      <c r="Q67" s="83">
        <f>+'BALANCE SHEET'!Q69</f>
        <v>34.6</v>
      </c>
      <c r="R67" s="44"/>
    </row>
    <row r="68" spans="1:18" ht="15.75" customHeight="1">
      <c r="A68" s="44" t="s">
        <v>70</v>
      </c>
      <c r="B68" s="44"/>
      <c r="C68" s="43">
        <f>C67+C60</f>
        <v>0</v>
      </c>
      <c r="D68" s="80" t="str">
        <f t="shared" si="8"/>
        <v> </v>
      </c>
      <c r="E68" s="43">
        <f>E67+E60</f>
        <v>0</v>
      </c>
      <c r="F68" s="80" t="str">
        <f t="shared" si="9"/>
        <v> </v>
      </c>
      <c r="G68" s="43">
        <f>G67+G60</f>
        <v>0</v>
      </c>
      <c r="H68" s="80" t="str">
        <f t="shared" si="10"/>
        <v> </v>
      </c>
      <c r="I68" s="43">
        <f>I67+I60</f>
        <v>239</v>
      </c>
      <c r="J68" s="80">
        <f t="shared" si="6"/>
        <v>0.10230726424382518</v>
      </c>
      <c r="K68" s="87"/>
      <c r="L68" s="43">
        <f>L40+L67+L60</f>
        <v>1722</v>
      </c>
      <c r="M68" s="88"/>
      <c r="N68" s="43">
        <f>N40+N67+N60</f>
        <v>1722</v>
      </c>
      <c r="O68" s="43">
        <f>O67+O60</f>
        <v>1961</v>
      </c>
      <c r="P68" s="80">
        <f t="shared" si="11"/>
        <v>0.48323106872674404</v>
      </c>
      <c r="Q68" s="89"/>
      <c r="R68" s="44"/>
    </row>
    <row r="69" spans="1:18" ht="15.75" customHeight="1">
      <c r="A69" s="44"/>
      <c r="B69" s="44"/>
      <c r="C69" s="83"/>
      <c r="D69" s="45"/>
      <c r="E69" s="83"/>
      <c r="F69" s="45"/>
      <c r="G69" s="90"/>
      <c r="H69" s="45"/>
      <c r="I69" s="83"/>
      <c r="J69" s="45"/>
      <c r="K69" s="44"/>
      <c r="L69" s="44"/>
      <c r="M69" s="44"/>
      <c r="N69" s="47"/>
      <c r="O69" s="47"/>
      <c r="P69" s="45"/>
      <c r="Q69" s="44"/>
      <c r="R69" s="44"/>
    </row>
    <row r="70" spans="1:18" ht="15.75" customHeight="1">
      <c r="A70" s="44"/>
      <c r="B70" s="44"/>
      <c r="C70" s="44"/>
      <c r="D70" s="45"/>
      <c r="E70" s="44"/>
      <c r="F70" s="45"/>
      <c r="G70" s="90"/>
      <c r="H70" s="45"/>
      <c r="I70" s="44"/>
      <c r="J70" s="45"/>
      <c r="K70" s="44"/>
      <c r="L70" s="44"/>
      <c r="M70" s="44"/>
      <c r="N70" s="47"/>
      <c r="O70" s="47"/>
      <c r="P70" s="45"/>
      <c r="Q70" s="44"/>
      <c r="R70" s="44"/>
    </row>
    <row r="71" spans="1:18" ht="15.75" customHeight="1">
      <c r="A71" s="44"/>
      <c r="B71" s="44"/>
      <c r="C71" s="44"/>
      <c r="D71" s="45"/>
      <c r="E71" s="44"/>
      <c r="F71" s="45"/>
      <c r="G71" s="90"/>
      <c r="H71" s="45"/>
      <c r="I71" s="44"/>
      <c r="J71" s="45"/>
      <c r="K71" s="44"/>
      <c r="L71" s="44"/>
      <c r="M71" s="44"/>
      <c r="N71" s="47"/>
      <c r="O71" s="47"/>
      <c r="P71" s="45"/>
      <c r="Q71" s="44"/>
      <c r="R71" s="44"/>
    </row>
    <row r="72" spans="1:18" ht="15.75" customHeight="1">
      <c r="A72" s="44"/>
      <c r="B72" s="44"/>
      <c r="C72" s="44"/>
      <c r="D72" s="45"/>
      <c r="E72" s="44"/>
      <c r="F72" s="45"/>
      <c r="G72" s="90"/>
      <c r="H72" s="45"/>
      <c r="I72" s="44"/>
      <c r="J72" s="45"/>
      <c r="K72" s="44"/>
      <c r="L72" s="44"/>
      <c r="M72" s="44"/>
      <c r="N72" s="47"/>
      <c r="O72" s="47"/>
      <c r="P72" s="45"/>
      <c r="Q72" s="44"/>
      <c r="R72" s="44"/>
    </row>
    <row r="73" spans="1:18" ht="15.75" customHeight="1">
      <c r="A73" s="44"/>
      <c r="B73" s="44"/>
      <c r="C73" s="44"/>
      <c r="D73" s="45"/>
      <c r="E73" s="44"/>
      <c r="F73" s="45"/>
      <c r="G73" s="90"/>
      <c r="H73" s="45"/>
      <c r="I73" s="44"/>
      <c r="J73" s="45"/>
      <c r="K73" s="44"/>
      <c r="L73" s="44"/>
      <c r="M73" s="44"/>
      <c r="N73" s="47"/>
      <c r="O73" s="47"/>
      <c r="P73" s="45"/>
      <c r="Q73" s="44"/>
      <c r="R73" s="44"/>
    </row>
    <row r="74" spans="1:18" ht="15.75" customHeight="1">
      <c r="A74" s="44"/>
      <c r="B74" s="44"/>
      <c r="C74" s="44"/>
      <c r="D74" s="45"/>
      <c r="E74" s="44"/>
      <c r="F74" s="45"/>
      <c r="G74" s="90"/>
      <c r="H74" s="45"/>
      <c r="I74" s="44"/>
      <c r="J74" s="45"/>
      <c r="K74" s="44"/>
      <c r="L74" s="44"/>
      <c r="M74" s="44"/>
      <c r="N74" s="47"/>
      <c r="O74" s="47"/>
      <c r="P74" s="45"/>
      <c r="Q74" s="44"/>
      <c r="R74" s="44"/>
    </row>
    <row r="75" spans="1:18" ht="15.75" customHeight="1">
      <c r="A75" s="44"/>
      <c r="B75" s="44"/>
      <c r="C75" s="44"/>
      <c r="D75" s="45"/>
      <c r="E75" s="44"/>
      <c r="F75" s="45"/>
      <c r="G75" s="44"/>
      <c r="H75" s="45"/>
      <c r="I75" s="44"/>
      <c r="J75" s="45"/>
      <c r="K75" s="44"/>
      <c r="L75" s="44"/>
      <c r="M75" s="44"/>
      <c r="N75" s="47"/>
      <c r="O75" s="47"/>
      <c r="P75" s="45"/>
      <c r="Q75" s="44"/>
      <c r="R75" s="44"/>
    </row>
    <row r="76" spans="1:18" ht="15.75" customHeight="1">
      <c r="A76" s="44"/>
      <c r="B76" s="44"/>
      <c r="C76" s="44"/>
      <c r="D76" s="45"/>
      <c r="E76" s="44"/>
      <c r="F76" s="45"/>
      <c r="G76" s="44"/>
      <c r="H76" s="45"/>
      <c r="I76" s="44"/>
      <c r="J76" s="45"/>
      <c r="K76" s="44"/>
      <c r="L76" s="44"/>
      <c r="M76" s="44"/>
      <c r="N76" s="47"/>
      <c r="O76" s="47"/>
      <c r="P76" s="45"/>
      <c r="Q76" s="44"/>
      <c r="R76" s="44"/>
    </row>
    <row r="77" spans="1:18" ht="15.75" customHeight="1">
      <c r="A77" s="44"/>
      <c r="B77" s="44"/>
      <c r="C77" s="44"/>
      <c r="D77" s="45"/>
      <c r="E77" s="44"/>
      <c r="F77" s="45"/>
      <c r="G77" s="44"/>
      <c r="H77" s="45"/>
      <c r="I77" s="44"/>
      <c r="J77" s="45"/>
      <c r="K77" s="44"/>
      <c r="L77" s="44"/>
      <c r="M77" s="44"/>
      <c r="N77" s="47"/>
      <c r="O77" s="47"/>
      <c r="P77" s="45"/>
      <c r="Q77" s="44"/>
      <c r="R77" s="44"/>
    </row>
    <row r="78" spans="1:18" ht="15.75" customHeight="1">
      <c r="A78" s="44"/>
      <c r="B78" s="44"/>
      <c r="C78" s="44"/>
      <c r="D78" s="45"/>
      <c r="E78" s="44"/>
      <c r="F78" s="45"/>
      <c r="G78" s="44"/>
      <c r="H78" s="45"/>
      <c r="I78" s="44"/>
      <c r="J78" s="45"/>
      <c r="K78" s="44"/>
      <c r="L78" s="44"/>
      <c r="M78" s="44"/>
      <c r="N78" s="47"/>
      <c r="O78" s="47"/>
      <c r="P78" s="45"/>
      <c r="Q78" s="44"/>
      <c r="R78" s="44"/>
    </row>
    <row r="79" spans="1:18" ht="15.75" customHeight="1">
      <c r="A79" s="44"/>
      <c r="B79" s="44"/>
      <c r="C79" s="44"/>
      <c r="D79" s="45"/>
      <c r="E79" s="44"/>
      <c r="F79" s="45"/>
      <c r="G79" s="44"/>
      <c r="H79" s="45"/>
      <c r="I79" s="44"/>
      <c r="J79" s="45"/>
      <c r="K79" s="44"/>
      <c r="L79" s="44"/>
      <c r="M79" s="44"/>
      <c r="N79" s="47"/>
      <c r="O79" s="47"/>
      <c r="P79" s="45"/>
      <c r="Q79" s="44"/>
      <c r="R79" s="44"/>
    </row>
    <row r="80" spans="1:18" ht="15.75" customHeight="1">
      <c r="A80" s="44"/>
      <c r="B80" s="44"/>
      <c r="C80" s="44"/>
      <c r="D80" s="45"/>
      <c r="E80" s="44"/>
      <c r="F80" s="45"/>
      <c r="G80" s="44"/>
      <c r="H80" s="45"/>
      <c r="I80" s="44"/>
      <c r="J80" s="45"/>
      <c r="K80" s="44"/>
      <c r="L80" s="44"/>
      <c r="M80" s="44"/>
      <c r="N80" s="47"/>
      <c r="O80" s="47"/>
      <c r="P80" s="45"/>
      <c r="Q80" s="44"/>
      <c r="R80" s="44"/>
    </row>
    <row r="81" spans="1:18" ht="15.75" customHeight="1">
      <c r="A81" s="44"/>
      <c r="B81" s="44"/>
      <c r="C81" s="44"/>
      <c r="D81" s="45"/>
      <c r="E81" s="44"/>
      <c r="F81" s="45"/>
      <c r="G81" s="44"/>
      <c r="H81" s="45"/>
      <c r="I81" s="44"/>
      <c r="J81" s="45"/>
      <c r="K81" s="44"/>
      <c r="L81" s="44"/>
      <c r="M81" s="44"/>
      <c r="N81" s="47"/>
      <c r="O81" s="47"/>
      <c r="P81" s="45"/>
      <c r="Q81" s="44"/>
      <c r="R81" s="44"/>
    </row>
    <row r="82" spans="1:18" ht="15.75" customHeight="1">
      <c r="A82" s="44"/>
      <c r="B82" s="44"/>
      <c r="C82" s="44"/>
      <c r="D82" s="45"/>
      <c r="E82" s="44"/>
      <c r="F82" s="45"/>
      <c r="G82" s="44"/>
      <c r="H82" s="45"/>
      <c r="I82" s="44"/>
      <c r="J82" s="45"/>
      <c r="K82" s="44"/>
      <c r="L82" s="44"/>
      <c r="M82" s="44"/>
      <c r="N82" s="47"/>
      <c r="O82" s="47"/>
      <c r="P82" s="45"/>
      <c r="Q82" s="44"/>
      <c r="R82" s="44"/>
    </row>
    <row r="83" spans="4:6" ht="15.75" customHeight="1">
      <c r="D83" s="91"/>
      <c r="F83" s="91"/>
    </row>
    <row r="84" spans="4:6" ht="15.75" customHeight="1">
      <c r="D84" s="91"/>
      <c r="F84" s="91"/>
    </row>
    <row r="85" spans="4:6" ht="15.75" customHeight="1">
      <c r="D85" s="91"/>
      <c r="F85" s="91"/>
    </row>
    <row r="86" spans="4:6" ht="15.75" customHeight="1">
      <c r="D86" s="91"/>
      <c r="F86" s="91"/>
    </row>
    <row r="87" spans="4:6" ht="15.75" customHeight="1">
      <c r="D87" s="91"/>
      <c r="F87" s="91"/>
    </row>
    <row r="88" spans="4:6" ht="15.75" customHeight="1">
      <c r="D88" s="91"/>
      <c r="F88" s="91"/>
    </row>
    <row r="89" spans="4:6" ht="15.75" customHeight="1">
      <c r="D89" s="91"/>
      <c r="F89" s="91"/>
    </row>
    <row r="90" spans="4:6" ht="15.75" customHeight="1">
      <c r="D90" s="91"/>
      <c r="F90" s="91"/>
    </row>
    <row r="91" spans="4:6" ht="15.75" customHeight="1">
      <c r="D91" s="91"/>
      <c r="F91" s="91"/>
    </row>
    <row r="92" spans="4:6" ht="15.75" customHeight="1">
      <c r="D92" s="91"/>
      <c r="F92" s="91"/>
    </row>
    <row r="93" spans="4:6" ht="15.75" customHeight="1">
      <c r="D93" s="91"/>
      <c r="F93" s="91"/>
    </row>
    <row r="94" spans="4:6" ht="15.75" customHeight="1">
      <c r="D94" s="91"/>
      <c r="F94" s="91"/>
    </row>
    <row r="95" spans="4:6" ht="15.75" customHeight="1">
      <c r="D95" s="91"/>
      <c r="F95" s="91"/>
    </row>
    <row r="96" spans="4:6" ht="15.75" customHeight="1">
      <c r="D96" s="91"/>
      <c r="F96" s="91"/>
    </row>
    <row r="97" spans="4:6" ht="15.75" customHeight="1">
      <c r="D97" s="91"/>
      <c r="F97" s="91"/>
    </row>
    <row r="98" spans="4:6" ht="15.75" customHeight="1">
      <c r="D98" s="91"/>
      <c r="F98" s="91"/>
    </row>
    <row r="99" spans="4:6" ht="15.75" customHeight="1">
      <c r="D99" s="91"/>
      <c r="F99" s="91"/>
    </row>
    <row r="100" spans="4:6" ht="15.75" customHeight="1">
      <c r="D100" s="91"/>
      <c r="F100" s="91"/>
    </row>
    <row r="101" spans="4:6" ht="15.75" customHeight="1">
      <c r="D101" s="91"/>
      <c r="F101" s="91"/>
    </row>
    <row r="102" spans="4:6" ht="15.75" customHeight="1">
      <c r="D102" s="91"/>
      <c r="F102" s="91"/>
    </row>
    <row r="103" spans="4:6" ht="15.75" customHeight="1">
      <c r="D103" s="91"/>
      <c r="F103" s="91"/>
    </row>
    <row r="104" spans="4:6" ht="15.75" customHeight="1">
      <c r="D104" s="91"/>
      <c r="F104" s="91"/>
    </row>
    <row r="105" spans="4:6" ht="15.75" customHeight="1">
      <c r="D105" s="91"/>
      <c r="F105" s="91"/>
    </row>
    <row r="106" spans="4:6" ht="15.75" customHeight="1">
      <c r="D106" s="91"/>
      <c r="F106" s="91"/>
    </row>
    <row r="107" spans="4:6" ht="15.75" customHeight="1">
      <c r="D107" s="91"/>
      <c r="F107" s="91"/>
    </row>
    <row r="108" spans="4:6" ht="15.75" customHeight="1">
      <c r="D108" s="91"/>
      <c r="F108" s="91"/>
    </row>
    <row r="109" spans="4:6" ht="15.75" customHeight="1">
      <c r="D109" s="91"/>
      <c r="F109" s="91"/>
    </row>
    <row r="110" spans="4:6" ht="15.75" customHeight="1">
      <c r="D110" s="91"/>
      <c r="F110" s="91"/>
    </row>
    <row r="111" spans="4:6" ht="15.75" customHeight="1">
      <c r="D111" s="91"/>
      <c r="F111" s="91"/>
    </row>
    <row r="112" spans="4:6" ht="15.75" customHeight="1">
      <c r="D112" s="91"/>
      <c r="F112" s="91"/>
    </row>
    <row r="113" spans="4:6" ht="15.75" customHeight="1">
      <c r="D113" s="91"/>
      <c r="F113" s="91"/>
    </row>
    <row r="114" spans="4:6" ht="15.75" customHeight="1">
      <c r="D114" s="91"/>
      <c r="F114" s="91"/>
    </row>
    <row r="115" spans="4:6" ht="15.75" customHeight="1">
      <c r="D115" s="91"/>
      <c r="F115" s="91"/>
    </row>
    <row r="116" spans="4:6" ht="15.75" customHeight="1">
      <c r="D116" s="91"/>
      <c r="F116" s="91"/>
    </row>
    <row r="117" spans="4:6" ht="15.75" customHeight="1">
      <c r="D117" s="91"/>
      <c r="F117" s="91"/>
    </row>
    <row r="118" spans="4:6" ht="15.75" customHeight="1">
      <c r="D118" s="91"/>
      <c r="F118" s="91"/>
    </row>
    <row r="119" spans="4:6" ht="15.75" customHeight="1">
      <c r="D119" s="91"/>
      <c r="F119" s="91"/>
    </row>
    <row r="120" spans="4:6" ht="15.75" customHeight="1">
      <c r="D120" s="91"/>
      <c r="F120" s="91"/>
    </row>
    <row r="121" spans="4:6" ht="15.75" customHeight="1">
      <c r="D121" s="91"/>
      <c r="F121" s="91"/>
    </row>
    <row r="122" spans="4:6" ht="15.75" customHeight="1">
      <c r="D122" s="91"/>
      <c r="F122" s="91"/>
    </row>
    <row r="123" spans="4:6" ht="15.75" customHeight="1">
      <c r="D123" s="91"/>
      <c r="F123" s="91"/>
    </row>
    <row r="124" spans="4:6" ht="15.75" customHeight="1">
      <c r="D124" s="91"/>
      <c r="F124" s="91"/>
    </row>
    <row r="125" spans="4:6" ht="15.75" customHeight="1">
      <c r="D125" s="91"/>
      <c r="F125" s="91"/>
    </row>
    <row r="126" spans="4:6" ht="15.75" customHeight="1">
      <c r="D126" s="91"/>
      <c r="F126" s="91"/>
    </row>
    <row r="127" spans="4:6" ht="15.75" customHeight="1">
      <c r="D127" s="91"/>
      <c r="F127" s="91"/>
    </row>
    <row r="128" spans="4:6" ht="15.75" customHeight="1">
      <c r="D128" s="91"/>
      <c r="F128" s="91"/>
    </row>
    <row r="129" spans="4:6" ht="15.75" customHeight="1">
      <c r="D129" s="91"/>
      <c r="F129" s="91"/>
    </row>
    <row r="130" spans="4:6" ht="15.75" customHeight="1">
      <c r="D130" s="91"/>
      <c r="F130" s="91"/>
    </row>
    <row r="131" spans="4:6" ht="15.75" customHeight="1">
      <c r="D131" s="91"/>
      <c r="F131" s="91"/>
    </row>
    <row r="132" spans="4:6" ht="15.75" customHeight="1">
      <c r="D132" s="91"/>
      <c r="F132" s="91"/>
    </row>
    <row r="133" spans="4:6" ht="15.75" customHeight="1">
      <c r="D133" s="91"/>
      <c r="F133" s="91"/>
    </row>
    <row r="134" spans="1:6" ht="15.75" customHeight="1">
      <c r="A134" s="31" t="s">
        <v>71</v>
      </c>
      <c r="D134" s="91"/>
      <c r="F134" s="91"/>
    </row>
    <row r="135" spans="4:6" ht="15.75" customHeight="1">
      <c r="D135" s="91"/>
      <c r="F135" s="91"/>
    </row>
    <row r="136" spans="4:6" ht="15.75" customHeight="1">
      <c r="D136" s="91"/>
      <c r="F136" s="91"/>
    </row>
    <row r="137" spans="4:6" ht="15.75" customHeight="1">
      <c r="D137" s="91"/>
      <c r="F137" s="91"/>
    </row>
    <row r="138" spans="4:6" ht="15.75" customHeight="1">
      <c r="D138" s="91"/>
      <c r="F138" s="91"/>
    </row>
    <row r="139" spans="4:6" ht="15.75" customHeight="1">
      <c r="D139" s="91"/>
      <c r="F139" s="91"/>
    </row>
    <row r="140" spans="4:6" ht="15.75" customHeight="1">
      <c r="D140" s="91"/>
      <c r="F140" s="91"/>
    </row>
    <row r="141" spans="4:6" ht="15.75" customHeight="1">
      <c r="D141" s="91"/>
      <c r="F141" s="91"/>
    </row>
    <row r="142" spans="4:6" ht="15.75" customHeight="1">
      <c r="D142" s="91"/>
      <c r="F142" s="91"/>
    </row>
    <row r="143" spans="4:6" ht="15.75" customHeight="1">
      <c r="D143" s="91"/>
      <c r="F143" s="91"/>
    </row>
    <row r="144" spans="4:6" ht="15.75" customHeight="1">
      <c r="D144" s="91"/>
      <c r="F144" s="91"/>
    </row>
    <row r="145" spans="4:6" ht="15.75" customHeight="1">
      <c r="D145" s="91"/>
      <c r="F145" s="91"/>
    </row>
    <row r="146" spans="4:6" ht="15.75" customHeight="1">
      <c r="D146" s="91"/>
      <c r="F146" s="91"/>
    </row>
    <row r="147" spans="4:6" ht="15.75" customHeight="1">
      <c r="D147" s="91"/>
      <c r="F147" s="91"/>
    </row>
    <row r="148" spans="4:6" ht="15.75" customHeight="1">
      <c r="D148" s="91"/>
      <c r="F148" s="91"/>
    </row>
    <row r="149" spans="4:6" ht="15.75" customHeight="1">
      <c r="D149" s="91"/>
      <c r="F149" s="91"/>
    </row>
    <row r="150" spans="4:6" ht="15.75" customHeight="1">
      <c r="D150" s="91"/>
      <c r="F150" s="91"/>
    </row>
    <row r="151" spans="4:6" ht="15.75" customHeight="1">
      <c r="D151" s="91"/>
      <c r="F151" s="91"/>
    </row>
    <row r="152" spans="4:6" ht="15.75" customHeight="1">
      <c r="D152" s="91"/>
      <c r="F152" s="91"/>
    </row>
    <row r="153" spans="4:6" ht="15.75" customHeight="1">
      <c r="D153" s="91"/>
      <c r="F153" s="91"/>
    </row>
    <row r="154" spans="4:6" ht="15.75" customHeight="1">
      <c r="D154" s="91"/>
      <c r="F154" s="91"/>
    </row>
    <row r="155" spans="4:6" ht="15.75" customHeight="1">
      <c r="D155" s="91"/>
      <c r="F155" s="91"/>
    </row>
    <row r="156" spans="4:6" ht="15.75" customHeight="1">
      <c r="D156" s="91"/>
      <c r="F156" s="91"/>
    </row>
    <row r="157" spans="4:18" ht="15.75" customHeight="1">
      <c r="D157" s="91"/>
      <c r="F157" s="91"/>
      <c r="R157" s="31" t="s">
        <v>2</v>
      </c>
    </row>
    <row r="158" spans="4:19" ht="15.75" customHeight="1">
      <c r="D158" s="91"/>
      <c r="F158" s="91"/>
      <c r="R158" s="31" t="s">
        <v>2</v>
      </c>
      <c r="S158" s="31" t="s">
        <v>2</v>
      </c>
    </row>
    <row r="159" spans="4:6" ht="15.75" customHeight="1">
      <c r="D159" s="91"/>
      <c r="F159" s="91"/>
    </row>
    <row r="160" spans="4:19" ht="15.75" customHeight="1">
      <c r="D160" s="91"/>
      <c r="F160" s="91"/>
      <c r="R160" s="31" t="s">
        <v>2</v>
      </c>
      <c r="S160" s="31" t="s">
        <v>2</v>
      </c>
    </row>
    <row r="161" spans="4:6" ht="15.75" customHeight="1">
      <c r="D161" s="91"/>
      <c r="F161" s="91"/>
    </row>
    <row r="162" spans="4:6" ht="15.75" customHeight="1">
      <c r="D162" s="91"/>
      <c r="F162" s="91"/>
    </row>
    <row r="163" spans="4:19" ht="15.75" customHeight="1">
      <c r="D163" s="91"/>
      <c r="F163" s="91"/>
      <c r="R163" s="31" t="s">
        <v>2</v>
      </c>
      <c r="S163" s="31" t="s">
        <v>2</v>
      </c>
    </row>
    <row r="164" spans="4:19" ht="15.75" customHeight="1">
      <c r="D164" s="91"/>
      <c r="F164" s="91"/>
      <c r="R164" s="31" t="s">
        <v>2</v>
      </c>
      <c r="S164" s="31" t="s">
        <v>2</v>
      </c>
    </row>
    <row r="165" spans="4:19" ht="15.75" customHeight="1">
      <c r="D165" s="91"/>
      <c r="F165" s="91"/>
      <c r="R165" s="31" t="s">
        <v>2</v>
      </c>
      <c r="S165" s="31" t="s">
        <v>2</v>
      </c>
    </row>
    <row r="166" spans="4:19" ht="15.75" customHeight="1">
      <c r="D166" s="91"/>
      <c r="F166" s="91"/>
      <c r="R166" s="31" t="s">
        <v>2</v>
      </c>
      <c r="S166" s="31" t="s">
        <v>2</v>
      </c>
    </row>
    <row r="167" spans="4:18" ht="15.75" customHeight="1">
      <c r="D167" s="91"/>
      <c r="F167" s="91"/>
      <c r="R167" s="31" t="s">
        <v>2</v>
      </c>
    </row>
    <row r="168" spans="4:19" ht="15.75" customHeight="1">
      <c r="D168" s="91"/>
      <c r="F168" s="91"/>
      <c r="R168" s="31" t="s">
        <v>2</v>
      </c>
      <c r="S168" s="31" t="s">
        <v>2</v>
      </c>
    </row>
    <row r="169" spans="4:19" ht="15.75" customHeight="1">
      <c r="D169" s="91"/>
      <c r="F169" s="91"/>
      <c r="R169" s="31" t="s">
        <v>2</v>
      </c>
      <c r="S169" s="31" t="s">
        <v>2</v>
      </c>
    </row>
    <row r="170" spans="4:19" ht="15.75" customHeight="1">
      <c r="D170" s="91"/>
      <c r="F170" s="91"/>
      <c r="R170" s="31" t="s">
        <v>2</v>
      </c>
      <c r="S170" s="31" t="s">
        <v>2</v>
      </c>
    </row>
    <row r="171" spans="4:18" ht="15.75" customHeight="1">
      <c r="D171" s="91"/>
      <c r="F171" s="91"/>
      <c r="R171" s="31" t="s">
        <v>2</v>
      </c>
    </row>
    <row r="172" spans="4:19" ht="15.75" customHeight="1">
      <c r="D172" s="91"/>
      <c r="F172" s="91"/>
      <c r="R172" s="31" t="s">
        <v>2</v>
      </c>
      <c r="S172" s="31" t="s">
        <v>2</v>
      </c>
    </row>
    <row r="173" spans="4:6" ht="15.75" customHeight="1">
      <c r="D173" s="91"/>
      <c r="F173" s="91"/>
    </row>
    <row r="174" spans="4:6" ht="15.75" customHeight="1">
      <c r="D174" s="91"/>
      <c r="F174" s="91"/>
    </row>
    <row r="175" spans="4:6" ht="15.75" customHeight="1">
      <c r="D175" s="91"/>
      <c r="F175" s="91"/>
    </row>
    <row r="176" spans="4:6" ht="15.75" customHeight="1">
      <c r="D176" s="91"/>
      <c r="F176" s="91"/>
    </row>
    <row r="177" spans="4:6" ht="15.75" customHeight="1">
      <c r="D177" s="91"/>
      <c r="F177" s="91"/>
    </row>
    <row r="178" spans="4:6" ht="15.75" customHeight="1">
      <c r="D178" s="91"/>
      <c r="F178" s="91"/>
    </row>
    <row r="179" spans="4:6" ht="15.75" customHeight="1">
      <c r="D179" s="91"/>
      <c r="F179" s="91"/>
    </row>
    <row r="180" spans="4:6" ht="15.75" customHeight="1">
      <c r="D180" s="91"/>
      <c r="F180" s="91"/>
    </row>
    <row r="181" spans="4:6" ht="15.75" customHeight="1">
      <c r="D181" s="91"/>
      <c r="F181" s="91"/>
    </row>
    <row r="182" spans="4:6" ht="15.75" customHeight="1">
      <c r="D182" s="91"/>
      <c r="F182" s="91"/>
    </row>
    <row r="183" spans="4:6" ht="15.75" customHeight="1">
      <c r="D183" s="91"/>
      <c r="F183" s="91"/>
    </row>
    <row r="184" spans="4:6" ht="15.75" customHeight="1">
      <c r="D184" s="91"/>
      <c r="F184" s="91"/>
    </row>
    <row r="185" spans="4:6" ht="15.75" customHeight="1">
      <c r="D185" s="91"/>
      <c r="F185" s="91"/>
    </row>
    <row r="186" spans="4:6" ht="15.75" customHeight="1">
      <c r="D186" s="91"/>
      <c r="F186" s="91"/>
    </row>
    <row r="187" spans="4:6" ht="15.75" customHeight="1">
      <c r="D187" s="91"/>
      <c r="F187" s="91"/>
    </row>
    <row r="188" spans="4:6" ht="15.75" customHeight="1">
      <c r="D188" s="91"/>
      <c r="F188" s="91"/>
    </row>
    <row r="189" spans="4:6" ht="15.75" customHeight="1">
      <c r="D189" s="91"/>
      <c r="F189" s="91"/>
    </row>
    <row r="190" spans="4:6" ht="15.75" customHeight="1">
      <c r="D190" s="91"/>
      <c r="F190" s="91"/>
    </row>
    <row r="191" spans="4:6" ht="15.75" customHeight="1">
      <c r="D191" s="91"/>
      <c r="F191" s="91"/>
    </row>
    <row r="192" spans="4:6" ht="15.75" customHeight="1">
      <c r="D192" s="91"/>
      <c r="F192" s="91"/>
    </row>
    <row r="193" spans="4:6" ht="15.75" customHeight="1">
      <c r="D193" s="91"/>
      <c r="F193" s="91"/>
    </row>
    <row r="194" spans="4:6" ht="15.75" customHeight="1">
      <c r="D194" s="91"/>
      <c r="F194" s="91"/>
    </row>
    <row r="195" spans="4:6" ht="15.75" customHeight="1">
      <c r="D195" s="91"/>
      <c r="F195" s="91"/>
    </row>
    <row r="196" spans="4:6" ht="15.75" customHeight="1">
      <c r="D196" s="91"/>
      <c r="F196" s="91"/>
    </row>
    <row r="197" spans="4:6" ht="15.75" customHeight="1">
      <c r="D197" s="91"/>
      <c r="F197" s="91"/>
    </row>
    <row r="198" spans="4:6" ht="15.75" customHeight="1">
      <c r="D198" s="91"/>
      <c r="F198" s="91"/>
    </row>
    <row r="199" spans="4:6" ht="15.75" customHeight="1">
      <c r="D199" s="91"/>
      <c r="F199" s="91"/>
    </row>
    <row r="200" spans="4:6" ht="15.75" customHeight="1">
      <c r="D200" s="91"/>
      <c r="F200" s="91"/>
    </row>
    <row r="201" spans="4:6" ht="15.75" customHeight="1">
      <c r="D201" s="91"/>
      <c r="F201" s="91"/>
    </row>
    <row r="202" spans="4:6" ht="15.75" customHeight="1">
      <c r="D202" s="91"/>
      <c r="F202" s="91"/>
    </row>
    <row r="203" spans="4:6" ht="15.75" customHeight="1">
      <c r="D203" s="91"/>
      <c r="F203" s="91"/>
    </row>
    <row r="204" spans="4:6" ht="15.75" customHeight="1">
      <c r="D204" s="91"/>
      <c r="F204" s="91"/>
    </row>
    <row r="205" spans="4:6" ht="15.75" customHeight="1">
      <c r="D205" s="91"/>
      <c r="F205" s="91"/>
    </row>
    <row r="206" spans="4:6" ht="15.75" customHeight="1">
      <c r="D206" s="91"/>
      <c r="F206" s="91"/>
    </row>
    <row r="207" spans="4:6" ht="15.75" customHeight="1">
      <c r="D207" s="91"/>
      <c r="F207" s="91"/>
    </row>
    <row r="208" spans="4:6" ht="15.75" customHeight="1">
      <c r="D208" s="91"/>
      <c r="F208" s="91"/>
    </row>
    <row r="209" spans="4:6" ht="15.75" customHeight="1">
      <c r="D209" s="91"/>
      <c r="F209" s="91"/>
    </row>
    <row r="210" spans="4:6" ht="15.75" customHeight="1">
      <c r="D210" s="91"/>
      <c r="F210" s="91"/>
    </row>
    <row r="211" spans="4:6" ht="15.75" customHeight="1">
      <c r="D211" s="91"/>
      <c r="F211" s="91"/>
    </row>
    <row r="212" spans="4:6" ht="15.75" customHeight="1">
      <c r="D212" s="91"/>
      <c r="F212" s="91"/>
    </row>
    <row r="213" spans="4:6" ht="15.75" customHeight="1">
      <c r="D213" s="91"/>
      <c r="F213" s="91"/>
    </row>
    <row r="214" spans="4:6" ht="15.75" customHeight="1">
      <c r="D214" s="91"/>
      <c r="F214" s="91"/>
    </row>
    <row r="215" spans="4:6" ht="15.75" customHeight="1">
      <c r="D215" s="91"/>
      <c r="F215" s="91"/>
    </row>
    <row r="216" spans="4:6" ht="15.75" customHeight="1">
      <c r="D216" s="91"/>
      <c r="F216" s="91"/>
    </row>
    <row r="217" spans="4:6" ht="15.75" customHeight="1">
      <c r="D217" s="91"/>
      <c r="F217" s="91"/>
    </row>
    <row r="218" spans="4:6" ht="15.75" customHeight="1">
      <c r="D218" s="91"/>
      <c r="F218" s="91"/>
    </row>
    <row r="219" spans="4:6" ht="15.75" customHeight="1">
      <c r="D219" s="91"/>
      <c r="F219" s="91"/>
    </row>
    <row r="220" spans="4:6" ht="15.75" customHeight="1">
      <c r="D220" s="91"/>
      <c r="F220" s="91"/>
    </row>
    <row r="221" spans="4:6" ht="15.75" customHeight="1">
      <c r="D221" s="91"/>
      <c r="F221" s="91"/>
    </row>
    <row r="222" spans="4:6" ht="15.75" customHeight="1">
      <c r="D222" s="91"/>
      <c r="F222" s="91"/>
    </row>
    <row r="223" spans="4:6" ht="15.75" customHeight="1">
      <c r="D223" s="91"/>
      <c r="F223" s="91"/>
    </row>
    <row r="224" spans="4:6" ht="15.75" customHeight="1">
      <c r="D224" s="91"/>
      <c r="F224" s="91"/>
    </row>
    <row r="225" spans="4:6" ht="15.75" customHeight="1">
      <c r="D225" s="91"/>
      <c r="F225" s="91"/>
    </row>
    <row r="226" spans="4:6" ht="15.75" customHeight="1">
      <c r="D226" s="91"/>
      <c r="F226" s="91"/>
    </row>
    <row r="227" spans="4:6" ht="15.75" customHeight="1">
      <c r="D227" s="91"/>
      <c r="F227" s="91"/>
    </row>
    <row r="228" spans="4:6" ht="15.75" customHeight="1">
      <c r="D228" s="91"/>
      <c r="F228" s="91"/>
    </row>
    <row r="229" spans="4:6" ht="15.75" customHeight="1">
      <c r="D229" s="91"/>
      <c r="F229" s="91"/>
    </row>
    <row r="230" spans="4:6" ht="15.75" customHeight="1">
      <c r="D230" s="91"/>
      <c r="F230" s="91"/>
    </row>
    <row r="231" spans="4:6" ht="15.75" customHeight="1">
      <c r="D231" s="91"/>
      <c r="F231" s="91"/>
    </row>
    <row r="232" spans="4:6" ht="15.75" customHeight="1">
      <c r="D232" s="91"/>
      <c r="F232" s="91"/>
    </row>
    <row r="233" spans="4:6" ht="15.75" customHeight="1">
      <c r="D233" s="91"/>
      <c r="F233" s="91"/>
    </row>
    <row r="234" spans="4:6" ht="15.75" customHeight="1">
      <c r="D234" s="91"/>
      <c r="F234" s="91"/>
    </row>
    <row r="235" spans="4:6" ht="15.75" customHeight="1">
      <c r="D235" s="91"/>
      <c r="F235" s="91"/>
    </row>
    <row r="236" spans="4:6" ht="15.75" customHeight="1">
      <c r="D236" s="91"/>
      <c r="F236" s="91"/>
    </row>
    <row r="237" spans="4:6" ht="15.75" customHeight="1">
      <c r="D237" s="91"/>
      <c r="F237" s="91"/>
    </row>
    <row r="238" spans="4:6" ht="15.75" customHeight="1">
      <c r="D238" s="91"/>
      <c r="F238" s="91"/>
    </row>
    <row r="239" spans="4:6" ht="15.75" customHeight="1">
      <c r="D239" s="91"/>
      <c r="F239" s="91"/>
    </row>
    <row r="240" spans="4:6" ht="15.75" customHeight="1">
      <c r="D240" s="91"/>
      <c r="F240" s="91"/>
    </row>
    <row r="241" spans="4:6" ht="15.75" customHeight="1">
      <c r="D241" s="91"/>
      <c r="F241" s="91"/>
    </row>
    <row r="242" spans="4:6" ht="15.75" customHeight="1">
      <c r="D242" s="91"/>
      <c r="F242" s="91"/>
    </row>
    <row r="243" spans="4:6" ht="15.75" customHeight="1">
      <c r="D243" s="91"/>
      <c r="F243" s="91"/>
    </row>
    <row r="244" spans="4:6" ht="15.75" customHeight="1">
      <c r="D244" s="91"/>
      <c r="F244" s="91"/>
    </row>
    <row r="245" spans="4:6" ht="15.75" customHeight="1">
      <c r="D245" s="91"/>
      <c r="F245" s="91"/>
    </row>
    <row r="246" spans="4:6" ht="15.75" customHeight="1">
      <c r="D246" s="91"/>
      <c r="F246" s="91"/>
    </row>
    <row r="247" spans="4:6" ht="15.75" customHeight="1">
      <c r="D247" s="91"/>
      <c r="F247" s="91"/>
    </row>
    <row r="248" spans="4:6" ht="15.75" customHeight="1">
      <c r="D248" s="91"/>
      <c r="F248" s="91"/>
    </row>
    <row r="249" spans="4:6" ht="15.75" customHeight="1">
      <c r="D249" s="91"/>
      <c r="F249" s="91"/>
    </row>
    <row r="250" spans="4:6" ht="15.75" customHeight="1">
      <c r="D250" s="91"/>
      <c r="F250" s="91"/>
    </row>
    <row r="251" spans="4:6" ht="15.75" customHeight="1">
      <c r="D251" s="91"/>
      <c r="F251" s="91"/>
    </row>
    <row r="252" spans="4:6" ht="15.75" customHeight="1">
      <c r="D252" s="91"/>
      <c r="F252" s="91"/>
    </row>
    <row r="253" spans="4:6" ht="15.75" customHeight="1">
      <c r="D253" s="91"/>
      <c r="F253" s="91"/>
    </row>
    <row r="254" spans="4:6" ht="15.75" customHeight="1">
      <c r="D254" s="91"/>
      <c r="F254" s="91"/>
    </row>
    <row r="255" spans="4:6" ht="15.75" customHeight="1">
      <c r="D255" s="91"/>
      <c r="F255" s="91"/>
    </row>
    <row r="256" spans="4:6" ht="15.75" customHeight="1">
      <c r="D256" s="91"/>
      <c r="F256" s="91"/>
    </row>
    <row r="257" spans="4:6" ht="15.75" customHeight="1">
      <c r="D257" s="91"/>
      <c r="F257" s="91"/>
    </row>
    <row r="258" spans="4:6" ht="15.75" customHeight="1">
      <c r="D258" s="91"/>
      <c r="F258" s="91"/>
    </row>
    <row r="259" spans="4:6" ht="15.75" customHeight="1">
      <c r="D259" s="91"/>
      <c r="F259" s="91"/>
    </row>
    <row r="260" spans="4:6" ht="15.75" customHeight="1">
      <c r="D260" s="91"/>
      <c r="F260" s="91"/>
    </row>
    <row r="261" spans="4:6" ht="15.75" customHeight="1">
      <c r="D261" s="91"/>
      <c r="F261" s="91"/>
    </row>
    <row r="262" spans="4:6" ht="15.75" customHeight="1">
      <c r="D262" s="91"/>
      <c r="F262" s="91"/>
    </row>
    <row r="263" spans="4:6" ht="15.75" customHeight="1">
      <c r="D263" s="91"/>
      <c r="F263" s="91"/>
    </row>
    <row r="264" spans="4:6" ht="15.75" customHeight="1">
      <c r="D264" s="91"/>
      <c r="F264" s="91"/>
    </row>
    <row r="265" spans="4:6" ht="15.75" customHeight="1">
      <c r="D265" s="91"/>
      <c r="F265" s="91"/>
    </row>
    <row r="266" spans="4:6" ht="15.75" customHeight="1">
      <c r="D266" s="91"/>
      <c r="F266" s="91"/>
    </row>
    <row r="267" spans="4:6" ht="15.75" customHeight="1">
      <c r="D267" s="91"/>
      <c r="F267" s="91"/>
    </row>
    <row r="268" spans="4:6" ht="15.75" customHeight="1">
      <c r="D268" s="91"/>
      <c r="F268" s="91"/>
    </row>
    <row r="269" spans="4:6" ht="15.75" customHeight="1">
      <c r="D269" s="91"/>
      <c r="F269" s="91"/>
    </row>
    <row r="270" spans="4:6" ht="15.75" customHeight="1">
      <c r="D270" s="91"/>
      <c r="F270" s="91"/>
    </row>
    <row r="271" spans="4:6" ht="15.75" customHeight="1">
      <c r="D271" s="91"/>
      <c r="F271" s="91"/>
    </row>
    <row r="272" spans="4:6" ht="15.75" customHeight="1">
      <c r="D272" s="91"/>
      <c r="F272" s="91"/>
    </row>
    <row r="273" spans="4:6" ht="15.75" customHeight="1">
      <c r="D273" s="91"/>
      <c r="F273" s="91"/>
    </row>
    <row r="274" spans="4:6" ht="15.75" customHeight="1">
      <c r="D274" s="91"/>
      <c r="F274" s="91"/>
    </row>
    <row r="275" spans="4:6" ht="15.75" customHeight="1">
      <c r="D275" s="91"/>
      <c r="F275" s="91"/>
    </row>
    <row r="276" spans="4:6" ht="15.75" customHeight="1">
      <c r="D276" s="91"/>
      <c r="F276" s="91"/>
    </row>
    <row r="277" spans="4:6" ht="15.75" customHeight="1">
      <c r="D277" s="91"/>
      <c r="F277" s="91"/>
    </row>
    <row r="278" spans="4:6" ht="15.75" customHeight="1">
      <c r="D278" s="91"/>
      <c r="F278" s="91"/>
    </row>
    <row r="279" spans="4:6" ht="15.75" customHeight="1">
      <c r="D279" s="91"/>
      <c r="F279" s="91"/>
    </row>
    <row r="280" spans="4:6" ht="15.75" customHeight="1">
      <c r="D280" s="91"/>
      <c r="F280" s="91"/>
    </row>
    <row r="281" spans="4:6" ht="15.75" customHeight="1">
      <c r="D281" s="91"/>
      <c r="F281" s="91"/>
    </row>
    <row r="282" spans="4:6" ht="15.75" customHeight="1">
      <c r="D282" s="91"/>
      <c r="F282" s="91"/>
    </row>
    <row r="283" spans="4:6" ht="15.75" customHeight="1">
      <c r="D283" s="91"/>
      <c r="F283" s="91"/>
    </row>
    <row r="284" spans="4:6" ht="15.75" customHeight="1">
      <c r="D284" s="91"/>
      <c r="F284" s="91"/>
    </row>
    <row r="285" spans="4:6" ht="15.75" customHeight="1">
      <c r="D285" s="91"/>
      <c r="F285" s="91"/>
    </row>
    <row r="286" spans="4:6" ht="15.75" customHeight="1">
      <c r="D286" s="91"/>
      <c r="F286" s="91"/>
    </row>
    <row r="287" spans="4:6" ht="15.75" customHeight="1">
      <c r="D287" s="91"/>
      <c r="F287" s="91"/>
    </row>
    <row r="288" spans="4:6" ht="15.75" customHeight="1">
      <c r="D288" s="91"/>
      <c r="F288" s="91"/>
    </row>
    <row r="289" spans="4:6" ht="15.75" customHeight="1">
      <c r="D289" s="91"/>
      <c r="F289" s="91"/>
    </row>
    <row r="290" spans="4:6" ht="15.75" customHeight="1">
      <c r="D290" s="91"/>
      <c r="F290" s="91"/>
    </row>
    <row r="291" spans="4:6" ht="15.75" customHeight="1">
      <c r="D291" s="91"/>
      <c r="F291" s="91"/>
    </row>
    <row r="292" spans="4:6" ht="15.75" customHeight="1">
      <c r="D292" s="91"/>
      <c r="F292" s="91"/>
    </row>
    <row r="293" spans="4:6" ht="15.75" customHeight="1">
      <c r="D293" s="91"/>
      <c r="F293" s="91"/>
    </row>
    <row r="294" spans="4:6" ht="15.75" customHeight="1">
      <c r="D294" s="91"/>
      <c r="F294" s="91"/>
    </row>
    <row r="295" spans="4:6" ht="15.75" customHeight="1">
      <c r="D295" s="91"/>
      <c r="F295" s="91"/>
    </row>
    <row r="296" spans="4:6" ht="15.75" customHeight="1">
      <c r="D296" s="91"/>
      <c r="F296" s="91"/>
    </row>
    <row r="297" spans="4:6" ht="15.75" customHeight="1">
      <c r="D297" s="91"/>
      <c r="F297" s="91"/>
    </row>
    <row r="298" spans="4:6" ht="15.75" customHeight="1">
      <c r="D298" s="91"/>
      <c r="F298" s="91"/>
    </row>
    <row r="299" spans="4:6" ht="15.75" customHeight="1">
      <c r="D299" s="91"/>
      <c r="F299" s="91"/>
    </row>
    <row r="300" spans="4:6" ht="15.75" customHeight="1">
      <c r="D300" s="91"/>
      <c r="F300" s="91"/>
    </row>
    <row r="301" spans="4:6" ht="15.75" customHeight="1">
      <c r="D301" s="91"/>
      <c r="F301" s="91"/>
    </row>
    <row r="302" spans="4:6" ht="15.75" customHeight="1">
      <c r="D302" s="91"/>
      <c r="F302" s="91"/>
    </row>
    <row r="303" spans="4:6" ht="15.75" customHeight="1">
      <c r="D303" s="91"/>
      <c r="F303" s="91"/>
    </row>
    <row r="304" spans="4:6" ht="15.75" customHeight="1">
      <c r="D304" s="91"/>
      <c r="F304" s="91"/>
    </row>
    <row r="305" spans="4:6" ht="15.75" customHeight="1">
      <c r="D305" s="91"/>
      <c r="F305" s="91"/>
    </row>
    <row r="306" spans="4:6" ht="15.75" customHeight="1">
      <c r="D306" s="91"/>
      <c r="F306" s="91"/>
    </row>
    <row r="307" spans="4:6" ht="15.75" customHeight="1">
      <c r="D307" s="91"/>
      <c r="F307" s="91"/>
    </row>
    <row r="308" spans="4:6" ht="15.75" customHeight="1">
      <c r="D308" s="91"/>
      <c r="F308" s="91"/>
    </row>
    <row r="309" spans="4:6" ht="15.75" customHeight="1">
      <c r="D309" s="91"/>
      <c r="F309" s="91"/>
    </row>
    <row r="310" spans="4:6" ht="15.75" customHeight="1">
      <c r="D310" s="91"/>
      <c r="F310" s="91"/>
    </row>
    <row r="311" spans="4:6" ht="15.75" customHeight="1">
      <c r="D311" s="91"/>
      <c r="F311" s="91"/>
    </row>
    <row r="312" spans="4:6" ht="15.75" customHeight="1">
      <c r="D312" s="91"/>
      <c r="F312" s="91"/>
    </row>
    <row r="313" spans="4:6" ht="15.75" customHeight="1">
      <c r="D313" s="91"/>
      <c r="F313" s="91"/>
    </row>
    <row r="314" spans="4:6" ht="15.75" customHeight="1">
      <c r="D314" s="91"/>
      <c r="F314" s="91"/>
    </row>
    <row r="315" spans="4:6" ht="15.75" customHeight="1">
      <c r="D315" s="91"/>
      <c r="F315" s="91"/>
    </row>
    <row r="316" spans="4:6" ht="15.75" customHeight="1">
      <c r="D316" s="91"/>
      <c r="F316" s="91"/>
    </row>
    <row r="317" spans="4:6" ht="15.75" customHeight="1">
      <c r="D317" s="91"/>
      <c r="F317" s="91"/>
    </row>
    <row r="318" spans="4:6" ht="15.75" customHeight="1">
      <c r="D318" s="91"/>
      <c r="F318" s="91"/>
    </row>
    <row r="319" spans="4:6" ht="15.75" customHeight="1">
      <c r="D319" s="91"/>
      <c r="F319" s="91"/>
    </row>
    <row r="320" spans="4:6" ht="15.75" customHeight="1">
      <c r="D320" s="91"/>
      <c r="F320" s="91"/>
    </row>
    <row r="321" spans="4:6" ht="15.75" customHeight="1">
      <c r="D321" s="91"/>
      <c r="F321" s="91"/>
    </row>
    <row r="322" spans="4:6" ht="15.75" customHeight="1">
      <c r="D322" s="91"/>
      <c r="F322" s="91"/>
    </row>
    <row r="323" spans="4:6" ht="15.75" customHeight="1">
      <c r="D323" s="91"/>
      <c r="F323" s="91"/>
    </row>
    <row r="324" spans="4:6" ht="15.75" customHeight="1">
      <c r="D324" s="91"/>
      <c r="F324" s="91"/>
    </row>
    <row r="325" spans="4:6" ht="15.75" customHeight="1">
      <c r="D325" s="91"/>
      <c r="F325" s="91"/>
    </row>
    <row r="326" spans="4:6" ht="15.75" customHeight="1">
      <c r="D326" s="91"/>
      <c r="F326" s="91"/>
    </row>
    <row r="327" spans="4:6" ht="15.75" customHeight="1">
      <c r="D327" s="91"/>
      <c r="F327" s="91"/>
    </row>
    <row r="328" spans="4:6" ht="15.75" customHeight="1">
      <c r="D328" s="91"/>
      <c r="F328" s="91"/>
    </row>
    <row r="329" spans="4:6" ht="15.75" customHeight="1">
      <c r="D329" s="91"/>
      <c r="F329" s="91"/>
    </row>
    <row r="330" spans="4:6" ht="15.75" customHeight="1">
      <c r="D330" s="91"/>
      <c r="F330" s="91"/>
    </row>
    <row r="331" spans="4:6" ht="15.75" customHeight="1">
      <c r="D331" s="91"/>
      <c r="F331" s="91"/>
    </row>
    <row r="332" spans="4:6" ht="15.75" customHeight="1">
      <c r="D332" s="91"/>
      <c r="F332" s="91"/>
    </row>
    <row r="333" spans="4:6" ht="15.75" customHeight="1">
      <c r="D333" s="91"/>
      <c r="F333" s="91"/>
    </row>
    <row r="334" spans="4:6" ht="15.75" customHeight="1">
      <c r="D334" s="91"/>
      <c r="F334" s="91"/>
    </row>
    <row r="335" spans="4:6" ht="15.75" customHeight="1">
      <c r="D335" s="91"/>
      <c r="F335" s="91"/>
    </row>
    <row r="336" spans="4:6" ht="15.75" customHeight="1">
      <c r="D336" s="91"/>
      <c r="F336" s="91"/>
    </row>
    <row r="337" spans="4:6" ht="15.75" customHeight="1">
      <c r="D337" s="91"/>
      <c r="F337" s="91"/>
    </row>
    <row r="338" spans="4:6" ht="15.75" customHeight="1">
      <c r="D338" s="91"/>
      <c r="F338" s="91"/>
    </row>
    <row r="339" spans="4:6" ht="15.75" customHeight="1">
      <c r="D339" s="91"/>
      <c r="F339" s="91"/>
    </row>
    <row r="340" spans="4:6" ht="15.75" customHeight="1">
      <c r="D340" s="91"/>
      <c r="F340" s="91"/>
    </row>
    <row r="341" spans="4:6" ht="15.75" customHeight="1">
      <c r="D341" s="91"/>
      <c r="F341" s="91"/>
    </row>
    <row r="342" spans="4:6" ht="15.75" customHeight="1">
      <c r="D342" s="91"/>
      <c r="F342" s="91"/>
    </row>
    <row r="343" spans="4:6" ht="15.75" customHeight="1">
      <c r="D343" s="91"/>
      <c r="F343" s="91"/>
    </row>
    <row r="344" spans="4:6" ht="15.75" customHeight="1">
      <c r="D344" s="91"/>
      <c r="F344" s="91"/>
    </row>
    <row r="345" spans="4:6" ht="15.75" customHeight="1">
      <c r="D345" s="91"/>
      <c r="F345" s="91"/>
    </row>
    <row r="346" spans="4:6" ht="15.75" customHeight="1">
      <c r="D346" s="91"/>
      <c r="F346" s="91"/>
    </row>
    <row r="347" spans="4:6" ht="15.75" customHeight="1">
      <c r="D347" s="91"/>
      <c r="F347" s="91"/>
    </row>
    <row r="348" spans="4:6" ht="15.75" customHeight="1">
      <c r="D348" s="91"/>
      <c r="F348" s="91"/>
    </row>
    <row r="349" spans="4:6" ht="15.75" customHeight="1">
      <c r="D349" s="91"/>
      <c r="F349" s="91"/>
    </row>
    <row r="350" spans="4:6" ht="15.75" customHeight="1">
      <c r="D350" s="91"/>
      <c r="F350" s="91"/>
    </row>
    <row r="351" spans="4:6" ht="15.75" customHeight="1">
      <c r="D351" s="91"/>
      <c r="F351" s="91"/>
    </row>
    <row r="352" spans="4:6" ht="15.75" customHeight="1">
      <c r="D352" s="91"/>
      <c r="F352" s="91"/>
    </row>
    <row r="353" spans="4:6" ht="15.75" customHeight="1">
      <c r="D353" s="91"/>
      <c r="F353" s="91"/>
    </row>
    <row r="354" spans="4:6" ht="15.75" customHeight="1">
      <c r="D354" s="91"/>
      <c r="F354" s="91"/>
    </row>
    <row r="355" spans="4:6" ht="15.75" customHeight="1">
      <c r="D355" s="91"/>
      <c r="F355" s="91"/>
    </row>
    <row r="356" spans="4:6" ht="15.75" customHeight="1">
      <c r="D356" s="91"/>
      <c r="F356" s="91"/>
    </row>
    <row r="357" spans="4:6" ht="15.75" customHeight="1">
      <c r="D357" s="91"/>
      <c r="F357" s="91"/>
    </row>
    <row r="358" spans="4:6" ht="15.75" customHeight="1">
      <c r="D358" s="91"/>
      <c r="F358" s="91"/>
    </row>
    <row r="359" spans="4:6" ht="15.75" customHeight="1">
      <c r="D359" s="91"/>
      <c r="F359" s="91"/>
    </row>
    <row r="360" spans="4:6" ht="15.75" customHeight="1">
      <c r="D360" s="91"/>
      <c r="F360" s="91"/>
    </row>
    <row r="361" spans="4:6" ht="15.75" customHeight="1">
      <c r="D361" s="91"/>
      <c r="F361" s="91"/>
    </row>
    <row r="362" spans="4:6" ht="15.75" customHeight="1">
      <c r="D362" s="91"/>
      <c r="F362" s="91"/>
    </row>
    <row r="363" spans="4:6" ht="15.75" customHeight="1">
      <c r="D363" s="91"/>
      <c r="F363" s="91"/>
    </row>
    <row r="364" spans="4:6" ht="15.75" customHeight="1">
      <c r="D364" s="91"/>
      <c r="F364" s="91"/>
    </row>
    <row r="365" spans="4:6" ht="15.75" customHeight="1">
      <c r="D365" s="91"/>
      <c r="F365" s="91"/>
    </row>
    <row r="366" spans="4:6" ht="15.75" customHeight="1">
      <c r="D366" s="91"/>
      <c r="F366" s="91"/>
    </row>
    <row r="367" spans="4:6" ht="15.75" customHeight="1">
      <c r="D367" s="91"/>
      <c r="F367" s="91"/>
    </row>
    <row r="368" spans="4:6" ht="15.75" customHeight="1">
      <c r="D368" s="91"/>
      <c r="F368" s="91"/>
    </row>
    <row r="369" spans="4:6" ht="15.75" customHeight="1">
      <c r="D369" s="91"/>
      <c r="F369" s="91"/>
    </row>
    <row r="370" spans="4:6" ht="15.75" customHeight="1">
      <c r="D370" s="91"/>
      <c r="F370" s="91"/>
    </row>
    <row r="371" spans="4:6" ht="15.75" customHeight="1">
      <c r="D371" s="91"/>
      <c r="F371" s="91"/>
    </row>
    <row r="372" spans="4:6" ht="15.75" customHeight="1">
      <c r="D372" s="91"/>
      <c r="F372" s="91"/>
    </row>
    <row r="373" spans="4:6" ht="15.75" customHeight="1">
      <c r="D373" s="91"/>
      <c r="F373" s="91"/>
    </row>
    <row r="374" spans="4:6" ht="15.75" customHeight="1">
      <c r="D374" s="91"/>
      <c r="F374" s="91"/>
    </row>
    <row r="375" spans="4:6" ht="15.75" customHeight="1">
      <c r="D375" s="91"/>
      <c r="F375" s="91"/>
    </row>
    <row r="376" spans="4:6" ht="15.75" customHeight="1">
      <c r="D376" s="91"/>
      <c r="F376" s="91"/>
    </row>
    <row r="377" spans="4:6" ht="15.75" customHeight="1">
      <c r="D377" s="91"/>
      <c r="F377" s="91"/>
    </row>
    <row r="378" spans="4:6" ht="15.75" customHeight="1">
      <c r="D378" s="91"/>
      <c r="F378" s="91"/>
    </row>
    <row r="379" spans="4:6" ht="15.75" customHeight="1">
      <c r="D379" s="91"/>
      <c r="F379" s="91"/>
    </row>
    <row r="380" spans="4:6" ht="15.75" customHeight="1">
      <c r="D380" s="91"/>
      <c r="F380" s="91"/>
    </row>
    <row r="381" spans="4:6" ht="15.75" customHeight="1">
      <c r="D381" s="91"/>
      <c r="F381" s="91"/>
    </row>
    <row r="382" spans="4:6" ht="15.75" customHeight="1">
      <c r="D382" s="91"/>
      <c r="F382" s="91"/>
    </row>
    <row r="383" spans="4:6" ht="15.75" customHeight="1">
      <c r="D383" s="91"/>
      <c r="F383" s="91"/>
    </row>
    <row r="384" spans="4:6" ht="15.75" customHeight="1">
      <c r="D384" s="91"/>
      <c r="F384" s="91"/>
    </row>
    <row r="385" spans="4:6" ht="15.75" customHeight="1">
      <c r="D385" s="91"/>
      <c r="F385" s="91"/>
    </row>
    <row r="386" spans="4:6" ht="15.75" customHeight="1">
      <c r="D386" s="91"/>
      <c r="F386" s="91"/>
    </row>
    <row r="387" spans="4:6" ht="15.75" customHeight="1">
      <c r="D387" s="91"/>
      <c r="F387" s="91"/>
    </row>
    <row r="388" spans="4:6" ht="15.75" customHeight="1">
      <c r="D388" s="91"/>
      <c r="F388" s="91"/>
    </row>
    <row r="389" spans="4:6" ht="15.75" customHeight="1">
      <c r="D389" s="91"/>
      <c r="F389" s="91"/>
    </row>
    <row r="390" spans="4:6" ht="15.75" customHeight="1">
      <c r="D390" s="91"/>
      <c r="F390" s="91"/>
    </row>
    <row r="391" spans="4:6" ht="15.75" customHeight="1">
      <c r="D391" s="91"/>
      <c r="F391" s="91"/>
    </row>
    <row r="392" spans="4:6" ht="15.75" customHeight="1">
      <c r="D392" s="91"/>
      <c r="F392" s="91"/>
    </row>
    <row r="393" spans="4:6" ht="15.75" customHeight="1">
      <c r="D393" s="91"/>
      <c r="F393" s="91"/>
    </row>
    <row r="394" spans="4:6" ht="15.75" customHeight="1">
      <c r="D394" s="91"/>
      <c r="F394" s="91"/>
    </row>
    <row r="395" spans="4:6" ht="15.75" customHeight="1">
      <c r="D395" s="91"/>
      <c r="F395" s="91"/>
    </row>
    <row r="396" spans="4:6" ht="15.75" customHeight="1">
      <c r="D396" s="91"/>
      <c r="F396" s="91"/>
    </row>
    <row r="397" spans="4:6" ht="15.75" customHeight="1">
      <c r="D397" s="91"/>
      <c r="F397" s="91"/>
    </row>
    <row r="398" spans="4:6" ht="15.75" customHeight="1">
      <c r="D398" s="91"/>
      <c r="F398" s="91"/>
    </row>
    <row r="399" spans="4:6" ht="15.75" customHeight="1">
      <c r="D399" s="91"/>
      <c r="F399" s="91"/>
    </row>
    <row r="400" spans="4:6" ht="15.75" customHeight="1">
      <c r="D400" s="91"/>
      <c r="F400" s="91"/>
    </row>
    <row r="401" spans="4:6" ht="15.75" customHeight="1">
      <c r="D401" s="91"/>
      <c r="F401" s="91"/>
    </row>
    <row r="402" spans="4:6" ht="15.75" customHeight="1">
      <c r="D402" s="91"/>
      <c r="F402" s="91"/>
    </row>
    <row r="403" spans="4:6" ht="15.75" customHeight="1">
      <c r="D403" s="91"/>
      <c r="F403" s="91"/>
    </row>
    <row r="404" spans="4:6" ht="15.75" customHeight="1">
      <c r="D404" s="91"/>
      <c r="F404" s="91"/>
    </row>
    <row r="405" spans="4:6" ht="15.75" customHeight="1">
      <c r="D405" s="91"/>
      <c r="F405" s="91"/>
    </row>
    <row r="406" spans="4:6" ht="15.75" customHeight="1">
      <c r="D406" s="91"/>
      <c r="F406" s="91"/>
    </row>
    <row r="407" spans="4:6" ht="15.75" customHeight="1">
      <c r="D407" s="91"/>
      <c r="F407" s="91"/>
    </row>
    <row r="408" spans="4:6" ht="15.75" customHeight="1">
      <c r="D408" s="91"/>
      <c r="F408" s="91"/>
    </row>
    <row r="409" spans="4:6" ht="15.75" customHeight="1">
      <c r="D409" s="91"/>
      <c r="F409" s="91"/>
    </row>
    <row r="410" spans="4:6" ht="15.75" customHeight="1">
      <c r="D410" s="91"/>
      <c r="F410" s="91"/>
    </row>
    <row r="411" spans="4:6" ht="15.75" customHeight="1">
      <c r="D411" s="91"/>
      <c r="F411" s="91"/>
    </row>
    <row r="412" spans="4:6" ht="15.75" customHeight="1">
      <c r="D412" s="91"/>
      <c r="F412" s="91"/>
    </row>
    <row r="413" spans="4:6" ht="15.75" customHeight="1">
      <c r="D413" s="91"/>
      <c r="F413" s="91"/>
    </row>
    <row r="414" spans="4:6" ht="15.75" customHeight="1">
      <c r="D414" s="91"/>
      <c r="F414" s="91"/>
    </row>
    <row r="415" spans="4:6" ht="15.75" customHeight="1">
      <c r="D415" s="91"/>
      <c r="F415" s="91"/>
    </row>
    <row r="416" spans="4:6" ht="15.75" customHeight="1">
      <c r="D416" s="91"/>
      <c r="F416" s="91"/>
    </row>
    <row r="417" spans="4:6" ht="15.75" customHeight="1">
      <c r="D417" s="91"/>
      <c r="F417" s="91"/>
    </row>
    <row r="418" spans="4:6" ht="15.75" customHeight="1">
      <c r="D418" s="91"/>
      <c r="F418" s="91"/>
    </row>
    <row r="419" spans="4:6" ht="15.75" customHeight="1">
      <c r="D419" s="91"/>
      <c r="F419" s="91"/>
    </row>
    <row r="420" spans="4:6" ht="15.75" customHeight="1">
      <c r="D420" s="91"/>
      <c r="F420" s="91"/>
    </row>
    <row r="421" spans="4:6" ht="15.75" customHeight="1">
      <c r="D421" s="91"/>
      <c r="F421" s="91"/>
    </row>
    <row r="422" spans="4:6" ht="15.75" customHeight="1">
      <c r="D422" s="91"/>
      <c r="F422" s="91"/>
    </row>
    <row r="423" spans="4:6" ht="15.75" customHeight="1">
      <c r="D423" s="91"/>
      <c r="F423" s="91"/>
    </row>
    <row r="424" spans="4:6" ht="15.75" customHeight="1">
      <c r="D424" s="91"/>
      <c r="F424" s="91"/>
    </row>
    <row r="425" spans="4:6" ht="15.75" customHeight="1">
      <c r="D425" s="91"/>
      <c r="F425" s="91"/>
    </row>
    <row r="426" spans="4:6" ht="15.75" customHeight="1">
      <c r="D426" s="91"/>
      <c r="F426" s="91"/>
    </row>
    <row r="427" spans="4:6" ht="15.75" customHeight="1">
      <c r="D427" s="91"/>
      <c r="F427" s="91"/>
    </row>
    <row r="428" spans="4:6" ht="15.75" customHeight="1">
      <c r="D428" s="91"/>
      <c r="F428" s="91"/>
    </row>
    <row r="429" spans="4:6" ht="15.75" customHeight="1">
      <c r="D429" s="91"/>
      <c r="F429" s="91"/>
    </row>
    <row r="430" spans="4:6" ht="15.75" customHeight="1">
      <c r="D430" s="91"/>
      <c r="F430" s="91"/>
    </row>
    <row r="431" spans="4:6" ht="15.75" customHeight="1">
      <c r="D431" s="91"/>
      <c r="F431" s="91"/>
    </row>
    <row r="432" spans="4:6" ht="15.75" customHeight="1">
      <c r="D432" s="91"/>
      <c r="F432" s="91"/>
    </row>
    <row r="433" spans="4:6" ht="15.75" customHeight="1">
      <c r="D433" s="91"/>
      <c r="F433" s="91"/>
    </row>
    <row r="434" spans="4:6" ht="15.75" customHeight="1">
      <c r="D434" s="91"/>
      <c r="F434" s="91"/>
    </row>
    <row r="435" spans="4:6" ht="15.75" customHeight="1">
      <c r="D435" s="91"/>
      <c r="F435" s="91"/>
    </row>
    <row r="436" spans="4:6" ht="15.75" customHeight="1">
      <c r="D436" s="91"/>
      <c r="F436" s="91"/>
    </row>
    <row r="437" spans="4:6" ht="15.75" customHeight="1">
      <c r="D437" s="91"/>
      <c r="F437" s="91"/>
    </row>
    <row r="438" spans="4:6" ht="15.75" customHeight="1">
      <c r="D438" s="91"/>
      <c r="F438" s="91"/>
    </row>
    <row r="439" spans="4:6" ht="15.75" customHeight="1">
      <c r="D439" s="91"/>
      <c r="F439" s="91"/>
    </row>
    <row r="440" spans="4:6" ht="15.75" customHeight="1">
      <c r="D440" s="91"/>
      <c r="F440" s="91"/>
    </row>
    <row r="441" spans="4:6" ht="15.75" customHeight="1">
      <c r="D441" s="91"/>
      <c r="F441" s="91"/>
    </row>
    <row r="442" spans="4:6" ht="15.75" customHeight="1">
      <c r="D442" s="91"/>
      <c r="F442" s="91"/>
    </row>
    <row r="443" spans="4:6" ht="15.75" customHeight="1">
      <c r="D443" s="91"/>
      <c r="F443" s="91"/>
    </row>
    <row r="444" spans="4:6" ht="15.75" customHeight="1">
      <c r="D444" s="91"/>
      <c r="F444" s="91"/>
    </row>
    <row r="445" spans="4:6" ht="15.75" customHeight="1">
      <c r="D445" s="91"/>
      <c r="F445" s="91"/>
    </row>
    <row r="446" spans="4:6" ht="15.75" customHeight="1">
      <c r="D446" s="91"/>
      <c r="F446" s="91"/>
    </row>
    <row r="447" spans="4:6" ht="15.75" customHeight="1">
      <c r="D447" s="91"/>
      <c r="F447" s="91"/>
    </row>
    <row r="448" spans="4:6" ht="15.75" customHeight="1">
      <c r="D448" s="91"/>
      <c r="F448" s="91"/>
    </row>
    <row r="449" spans="4:6" ht="15.75" customHeight="1">
      <c r="D449" s="91"/>
      <c r="F449" s="91"/>
    </row>
    <row r="450" spans="4:6" ht="15.75" customHeight="1">
      <c r="D450" s="91"/>
      <c r="F450" s="91"/>
    </row>
    <row r="451" spans="4:6" ht="15.75" customHeight="1">
      <c r="D451" s="91"/>
      <c r="F451" s="91"/>
    </row>
    <row r="452" spans="4:6" ht="15.75" customHeight="1">
      <c r="D452" s="91"/>
      <c r="F452" s="91"/>
    </row>
    <row r="453" spans="4:6" ht="15.75" customHeight="1">
      <c r="D453" s="91"/>
      <c r="F453" s="91"/>
    </row>
    <row r="454" spans="4:6" ht="15.75" customHeight="1">
      <c r="D454" s="91"/>
      <c r="F454" s="91"/>
    </row>
    <row r="455" spans="4:6" ht="15.75" customHeight="1">
      <c r="D455" s="91"/>
      <c r="F455" s="91"/>
    </row>
    <row r="456" spans="4:6" ht="15.75" customHeight="1">
      <c r="D456" s="91"/>
      <c r="F456" s="91"/>
    </row>
    <row r="457" spans="4:6" ht="15.75" customHeight="1">
      <c r="D457" s="91"/>
      <c r="F457" s="91"/>
    </row>
    <row r="458" spans="4:6" ht="15.75" customHeight="1">
      <c r="D458" s="91"/>
      <c r="F458" s="91"/>
    </row>
    <row r="459" spans="4:6" ht="15.75" customHeight="1">
      <c r="D459" s="91"/>
      <c r="F459" s="91"/>
    </row>
    <row r="460" spans="4:6" ht="15.75" customHeight="1">
      <c r="D460" s="91"/>
      <c r="F460" s="91"/>
    </row>
    <row r="461" spans="4:6" ht="15.75" customHeight="1">
      <c r="D461" s="91"/>
      <c r="F461" s="91"/>
    </row>
    <row r="462" spans="4:6" ht="15.75" customHeight="1">
      <c r="D462" s="91"/>
      <c r="F462" s="91"/>
    </row>
    <row r="463" spans="4:6" ht="15.75" customHeight="1">
      <c r="D463" s="91"/>
      <c r="F463" s="91"/>
    </row>
    <row r="464" spans="4:6" ht="15.75" customHeight="1">
      <c r="D464" s="91"/>
      <c r="F464" s="91"/>
    </row>
    <row r="465" spans="4:6" ht="15.75" customHeight="1">
      <c r="D465" s="91"/>
      <c r="F465" s="91"/>
    </row>
    <row r="466" spans="4:6" ht="15.75" customHeight="1">
      <c r="D466" s="91"/>
      <c r="F466" s="91"/>
    </row>
    <row r="467" spans="4:6" ht="15.75" customHeight="1">
      <c r="D467" s="91"/>
      <c r="F467" s="91"/>
    </row>
    <row r="468" spans="4:6" ht="15.75" customHeight="1">
      <c r="D468" s="91"/>
      <c r="F468" s="91"/>
    </row>
    <row r="469" spans="4:6" ht="15.75" customHeight="1">
      <c r="D469" s="91"/>
      <c r="F469" s="91"/>
    </row>
    <row r="470" spans="4:6" ht="15.75" customHeight="1">
      <c r="D470" s="91"/>
      <c r="F470" s="91"/>
    </row>
    <row r="471" spans="4:6" ht="15.75" customHeight="1">
      <c r="D471" s="91"/>
      <c r="F471" s="91"/>
    </row>
    <row r="472" spans="4:6" ht="15.75" customHeight="1">
      <c r="D472" s="91"/>
      <c r="F472" s="91"/>
    </row>
    <row r="473" spans="4:6" ht="15.75" customHeight="1">
      <c r="D473" s="91"/>
      <c r="F473" s="91"/>
    </row>
    <row r="474" spans="4:6" ht="15.75" customHeight="1">
      <c r="D474" s="91"/>
      <c r="F474" s="91"/>
    </row>
    <row r="475" spans="4:6" ht="15.75" customHeight="1">
      <c r="D475" s="91"/>
      <c r="F475" s="91"/>
    </row>
    <row r="476" spans="4:6" ht="15.75" customHeight="1">
      <c r="D476" s="91"/>
      <c r="F476" s="91"/>
    </row>
    <row r="477" spans="4:6" ht="15.75" customHeight="1">
      <c r="D477" s="91"/>
      <c r="F477" s="91"/>
    </row>
    <row r="478" spans="4:6" ht="15.75" customHeight="1">
      <c r="D478" s="91"/>
      <c r="F478" s="91"/>
    </row>
    <row r="479" spans="4:6" ht="15.75" customHeight="1">
      <c r="D479" s="91"/>
      <c r="F479" s="91"/>
    </row>
    <row r="480" spans="4:6" ht="15.75" customHeight="1">
      <c r="D480" s="91"/>
      <c r="F480" s="91"/>
    </row>
    <row r="481" spans="4:6" ht="15.75" customHeight="1">
      <c r="D481" s="91"/>
      <c r="F481" s="91"/>
    </row>
    <row r="482" spans="4:6" ht="15.75" customHeight="1">
      <c r="D482" s="91"/>
      <c r="F482" s="91"/>
    </row>
    <row r="483" spans="4:6" ht="15.75" customHeight="1">
      <c r="D483" s="91"/>
      <c r="F483" s="91"/>
    </row>
    <row r="484" spans="4:6" ht="15.75" customHeight="1">
      <c r="D484" s="91"/>
      <c r="F484" s="91"/>
    </row>
    <row r="485" spans="4:6" ht="15.75" customHeight="1">
      <c r="D485" s="91"/>
      <c r="F485" s="91"/>
    </row>
    <row r="486" spans="4:6" ht="15.75" customHeight="1">
      <c r="D486" s="91"/>
      <c r="F486" s="91"/>
    </row>
    <row r="487" spans="4:6" ht="15.75" customHeight="1">
      <c r="D487" s="91"/>
      <c r="F487" s="91"/>
    </row>
    <row r="488" spans="4:6" ht="15.75" customHeight="1">
      <c r="D488" s="91"/>
      <c r="F488" s="91"/>
    </row>
    <row r="489" spans="4:6" ht="15.75" customHeight="1">
      <c r="D489" s="91"/>
      <c r="F489" s="91"/>
    </row>
    <row r="490" spans="4:6" ht="15.75" customHeight="1">
      <c r="D490" s="91"/>
      <c r="F490" s="91"/>
    </row>
  </sheetData>
  <printOptions/>
  <pageMargins left="0.5" right="0.5" top="0.5" bottom="0.5" header="0.5" footer="0.5"/>
  <pageSetup fitToHeight="1" fitToWidth="1" horizontalDpi="300" verticalDpi="300" orientation="portrait" scale="96" r:id="rId2"/>
  <rowBreaks count="4" manualBreakCount="4">
    <brk id="68" max="65535" man="1"/>
    <brk id="133" max="65535" man="1"/>
    <brk id="200" max="65535" man="1"/>
    <brk id="251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50"/>
  <sheetViews>
    <sheetView tabSelected="1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7" sqref="C7"/>
    </sheetView>
  </sheetViews>
  <sheetFormatPr defaultColWidth="9.00390625" defaultRowHeight="15"/>
  <cols>
    <col min="2" max="2" width="14.25390625" style="0" customWidth="1"/>
    <col min="3" max="15" width="15.625" style="0" customWidth="1"/>
    <col min="16" max="16" width="15.50390625" style="1" customWidth="1"/>
  </cols>
  <sheetData>
    <row r="1" spans="1:17" ht="24.75">
      <c r="A1" s="6" t="s">
        <v>212</v>
      </c>
      <c r="B1" s="7"/>
      <c r="C1" s="7"/>
      <c r="D1" s="7"/>
      <c r="E1" s="2"/>
      <c r="F1" s="2"/>
      <c r="G1" s="8" t="s">
        <v>213</v>
      </c>
      <c r="H1" s="9"/>
      <c r="I1" s="9"/>
      <c r="J1" s="10"/>
      <c r="K1" s="2"/>
      <c r="L1" s="8" t="s">
        <v>214</v>
      </c>
      <c r="M1" s="9"/>
      <c r="N1" s="2"/>
      <c r="O1" s="2"/>
      <c r="P1" s="3"/>
      <c r="Q1" s="2"/>
    </row>
    <row r="2" spans="1:17" ht="11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2"/>
    </row>
    <row r="3" spans="1:17" ht="23.25" customHeight="1" thickBot="1" thickTop="1">
      <c r="A3" s="11" t="s">
        <v>215</v>
      </c>
      <c r="B3" s="12"/>
      <c r="C3" s="175" t="s">
        <v>241</v>
      </c>
      <c r="D3" s="175" t="s">
        <v>242</v>
      </c>
      <c r="E3" s="176" t="s">
        <v>243</v>
      </c>
      <c r="F3" s="176" t="s">
        <v>244</v>
      </c>
      <c r="G3" s="176" t="s">
        <v>245</v>
      </c>
      <c r="H3" s="176" t="s">
        <v>246</v>
      </c>
      <c r="I3" s="176" t="s">
        <v>247</v>
      </c>
      <c r="J3" s="176" t="s">
        <v>248</v>
      </c>
      <c r="K3" s="176" t="s">
        <v>249</v>
      </c>
      <c r="L3" s="176" t="s">
        <v>250</v>
      </c>
      <c r="M3" s="176" t="s">
        <v>251</v>
      </c>
      <c r="N3" s="176" t="s">
        <v>252</v>
      </c>
      <c r="O3" s="177" t="s">
        <v>205</v>
      </c>
      <c r="P3" s="178" t="s">
        <v>12</v>
      </c>
      <c r="Q3" s="2"/>
    </row>
    <row r="4" spans="1:17" ht="20.25" customHeight="1" thickTop="1">
      <c r="A4" s="13" t="s">
        <v>206</v>
      </c>
      <c r="B4" s="14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  <c r="P4" s="173"/>
      <c r="Q4" s="2"/>
    </row>
    <row r="5" spans="1:17" ht="20.25" customHeight="1" thickBot="1">
      <c r="A5" s="15" t="s">
        <v>216</v>
      </c>
      <c r="B5" s="16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2"/>
      <c r="P5" s="173"/>
      <c r="Q5" s="2"/>
    </row>
    <row r="6" spans="1:17" ht="20.25" customHeight="1" thickBot="1" thickTop="1">
      <c r="A6" s="17" t="s">
        <v>207</v>
      </c>
      <c r="B6" s="18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3"/>
      <c r="Q6" s="2"/>
    </row>
    <row r="7" spans="1:17" ht="20.25" customHeight="1" thickTop="1">
      <c r="A7" s="19" t="str">
        <f>+'INCOME STATEMENT'!A15</f>
        <v>Acctg &amp; Legal</v>
      </c>
      <c r="B7" s="5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2"/>
      <c r="P7" s="173"/>
      <c r="Q7" s="2"/>
    </row>
    <row r="8" spans="1:17" ht="20.25" customHeight="1">
      <c r="A8" s="21" t="str">
        <f>+'INCOME STATEMENT'!A16</f>
        <v>Advertising</v>
      </c>
      <c r="B8" s="22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2"/>
      <c r="P8" s="173"/>
      <c r="Q8" s="2"/>
    </row>
    <row r="9" spans="1:17" ht="20.25" customHeight="1">
      <c r="A9" s="21" t="str">
        <f>+'INCOME STATEMENT'!A17</f>
        <v>Auto &amp; Truck</v>
      </c>
      <c r="B9" s="22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173"/>
      <c r="Q9" s="2"/>
    </row>
    <row r="10" spans="1:17" ht="20.25" customHeight="1">
      <c r="A10" s="21" t="str">
        <f>+'INCOME STATEMENT'!A18</f>
        <v>Credit Card Discounts</v>
      </c>
      <c r="B10" s="22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2"/>
      <c r="P10" s="173"/>
      <c r="Q10" s="2"/>
    </row>
    <row r="11" spans="1:17" ht="20.25" customHeight="1">
      <c r="A11" s="21" t="str">
        <f>+'INCOME STATEMENT'!A19</f>
        <v>Commissions</v>
      </c>
      <c r="B11" s="22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2"/>
      <c r="P11" s="173"/>
      <c r="Q11" s="2"/>
    </row>
    <row r="12" spans="1:17" ht="20.25" customHeight="1">
      <c r="A12" s="21" t="str">
        <f>+'INCOME STATEMENT'!A20</f>
        <v>Meals, Ent, Travel</v>
      </c>
      <c r="B12" s="22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2"/>
      <c r="P12" s="173"/>
      <c r="Q12" s="2"/>
    </row>
    <row r="13" spans="1:17" ht="20.25" customHeight="1">
      <c r="A13" s="21" t="str">
        <f>+'INCOME STATEMENT'!A21</f>
        <v>Equipment Leases</v>
      </c>
      <c r="B13" s="22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2"/>
      <c r="P13" s="173"/>
      <c r="Q13" s="2"/>
    </row>
    <row r="14" spans="1:17" ht="20.25" customHeight="1">
      <c r="A14" s="21" t="str">
        <f>+'INCOME STATEMENT'!A22</f>
        <v>Insurance</v>
      </c>
      <c r="B14" s="22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  <c r="P14" s="173"/>
      <c r="Q14" s="2"/>
    </row>
    <row r="15" spans="1:17" ht="20.25" customHeight="1">
      <c r="A15" s="21" t="str">
        <f>+'INCOME STATEMENT'!A23</f>
        <v>Office Exp. &amp; Postage</v>
      </c>
      <c r="B15" s="22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2"/>
      <c r="P15" s="173"/>
      <c r="Q15" s="2"/>
    </row>
    <row r="16" spans="1:17" ht="20.25" customHeight="1">
      <c r="A16" s="21" t="str">
        <f>+'INCOME STATEMENT'!A24</f>
        <v>Officer's Salary</v>
      </c>
      <c r="B16" s="22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2"/>
      <c r="P16" s="173"/>
      <c r="Q16" s="2"/>
    </row>
    <row r="17" spans="1:17" ht="20.25" customHeight="1">
      <c r="A17" s="21" t="str">
        <f>+'INCOME STATEMENT'!A25</f>
        <v>Rent - Building</v>
      </c>
      <c r="B17" s="22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2"/>
      <c r="P17" s="173"/>
      <c r="Q17" s="2"/>
    </row>
    <row r="18" spans="1:17" ht="20.25" customHeight="1">
      <c r="A18" s="21" t="str">
        <f>+'INCOME STATEMENT'!A26</f>
        <v>Repairs/Maintenance</v>
      </c>
      <c r="B18" s="22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2"/>
      <c r="P18" s="173"/>
      <c r="Q18" s="2"/>
    </row>
    <row r="19" spans="1:17" ht="20.25" customHeight="1">
      <c r="A19" s="21" t="str">
        <f>+'INCOME STATEMENT'!A27</f>
        <v>Delivery &amp; Freight</v>
      </c>
      <c r="B19" s="22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2"/>
      <c r="P19" s="173"/>
      <c r="Q19" s="2"/>
    </row>
    <row r="20" spans="1:17" ht="20.25" customHeight="1">
      <c r="A20" s="21" t="str">
        <f>+'INCOME STATEMENT'!A28</f>
        <v>Taxes &amp; Licenses</v>
      </c>
      <c r="B20" s="22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2"/>
      <c r="P20" s="173"/>
      <c r="Q20" s="2"/>
    </row>
    <row r="21" spans="1:17" ht="20.25" customHeight="1">
      <c r="A21" s="21" t="str">
        <f>+'INCOME STATEMENT'!A29</f>
        <v>Utilities/Telephone</v>
      </c>
      <c r="B21" s="22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2"/>
      <c r="P21" s="173"/>
      <c r="Q21" s="2"/>
    </row>
    <row r="22" spans="1:17" ht="20.25" customHeight="1">
      <c r="A22" s="21" t="str">
        <f>+'INCOME STATEMENT'!A30</f>
        <v>Salaries &amp; Wages</v>
      </c>
      <c r="B22" s="22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2"/>
      <c r="P22" s="173"/>
      <c r="Q22" s="2"/>
    </row>
    <row r="23" spans="1:17" ht="20.25" customHeight="1">
      <c r="A23" s="21" t="str">
        <f>+'INCOME STATEMENT'!A32</f>
        <v>Commissions</v>
      </c>
      <c r="B23" s="22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2"/>
      <c r="P23" s="173"/>
      <c r="Q23" s="2"/>
    </row>
    <row r="24" spans="1:17" ht="20.25" customHeight="1">
      <c r="A24" s="21" t="str">
        <f>+'INCOME STATEMENT'!A33</f>
        <v>All Other Expenses</v>
      </c>
      <c r="B24" s="22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2"/>
      <c r="P24" s="173"/>
      <c r="Q24" s="2"/>
    </row>
    <row r="25" spans="1:17" ht="20.25" customHeight="1">
      <c r="A25" s="21" t="str">
        <f>+'INCOME STATEMENT'!A34</f>
        <v>Bad Debt Expense</v>
      </c>
      <c r="B25" s="22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2"/>
      <c r="P25" s="173"/>
      <c r="Q25" s="2"/>
    </row>
    <row r="26" spans="1:17" ht="20.25" customHeight="1">
      <c r="A26" s="21" t="str">
        <f>+'INCOME STATEMENT'!A35</f>
        <v>Depreciation</v>
      </c>
      <c r="B26" s="22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2"/>
      <c r="P26" s="173"/>
      <c r="Q26" s="2"/>
    </row>
    <row r="27" spans="1:17" ht="20.25" customHeight="1" thickBot="1">
      <c r="A27" s="19" t="str">
        <f>+'INCOME STATEMENT'!A36</f>
        <v>Amortization</v>
      </c>
      <c r="B27" s="5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2"/>
      <c r="P27" s="173"/>
      <c r="Q27" s="2"/>
    </row>
    <row r="28" spans="1:17" ht="18.75" customHeight="1" thickBot="1" thickTop="1">
      <c r="A28" s="17" t="s">
        <v>91</v>
      </c>
      <c r="B28" s="18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2"/>
      <c r="P28" s="173"/>
      <c r="Q28" s="2"/>
    </row>
    <row r="29" spans="1:17" ht="20.25" customHeight="1" thickTop="1">
      <c r="A29" s="19" t="s">
        <v>92</v>
      </c>
      <c r="B29" s="5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2"/>
      <c r="P29" s="173"/>
      <c r="Q29" s="2"/>
    </row>
    <row r="30" spans="1:17" ht="20.25" customHeight="1">
      <c r="A30" s="21" t="str">
        <f>+'INCOME STATEMENT'!A41</f>
        <v>Interest Exp ( )</v>
      </c>
      <c r="B30" s="22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2"/>
      <c r="P30" s="173"/>
      <c r="Q30" s="2"/>
    </row>
    <row r="31" spans="1:17" ht="20.25" customHeight="1">
      <c r="A31" s="21" t="str">
        <f>+'INCOME STATEMENT'!A42</f>
        <v>Interest/Dividend Inc.</v>
      </c>
      <c r="B31" s="22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73"/>
      <c r="Q31" s="2"/>
    </row>
    <row r="32" spans="1:17" ht="20.25" customHeight="1" thickBot="1">
      <c r="A32" s="23" t="str">
        <f>+'INCOME STATEMENT'!A44</f>
        <v>Misc. Income/Exp.</v>
      </c>
      <c r="B32" s="5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2"/>
      <c r="P32" s="173"/>
      <c r="Q32" s="2"/>
    </row>
    <row r="33" spans="1:17" ht="18.75" customHeight="1" thickBot="1" thickTop="1">
      <c r="A33" s="17" t="s">
        <v>95</v>
      </c>
      <c r="B33" s="18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2"/>
      <c r="P33" s="173"/>
      <c r="Q33" s="2"/>
    </row>
    <row r="34" spans="1:17" ht="20.25" customHeight="1" thickTop="1">
      <c r="A34" s="19" t="s">
        <v>208</v>
      </c>
      <c r="B34" s="5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79"/>
      <c r="P34" s="180"/>
      <c r="Q34" s="2"/>
    </row>
    <row r="35" spans="1:17" ht="21" customHeight="1">
      <c r="A35" s="188" t="s">
        <v>99</v>
      </c>
      <c r="B35" s="189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2"/>
      <c r="P35" s="173"/>
      <c r="Q35" s="2"/>
    </row>
    <row r="36" spans="1:17" ht="15.75">
      <c r="A36" s="181"/>
      <c r="B36" s="5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82"/>
      <c r="P36" s="183"/>
      <c r="Q36" s="2"/>
    </row>
    <row r="37" spans="1:17" ht="15.75">
      <c r="A37" s="181"/>
      <c r="B37" s="5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82"/>
      <c r="P37" s="183"/>
      <c r="Q37" s="2"/>
    </row>
    <row r="38" spans="1:17" ht="15.75">
      <c r="A38" s="181"/>
      <c r="B38" s="5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82"/>
      <c r="P38" s="183"/>
      <c r="Q38" s="2"/>
    </row>
    <row r="39" spans="1:17" ht="15.75">
      <c r="A39" s="181"/>
      <c r="B39" s="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82"/>
      <c r="P39" s="183"/>
      <c r="Q39" s="2"/>
    </row>
    <row r="40" spans="1:17" ht="15.75">
      <c r="A40" s="181"/>
      <c r="B40" s="5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82"/>
      <c r="P40" s="183"/>
      <c r="Q40" s="2"/>
    </row>
    <row r="41" spans="1:17" ht="15.75">
      <c r="A41" s="181"/>
      <c r="B41" s="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82"/>
      <c r="P41" s="183"/>
      <c r="Q41" s="2"/>
    </row>
    <row r="42" spans="1:17" ht="15.75">
      <c r="A42" s="181"/>
      <c r="B42" s="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82"/>
      <c r="P42" s="183"/>
      <c r="Q42" s="2"/>
    </row>
    <row r="43" spans="1:17" ht="15.75">
      <c r="A43" s="181"/>
      <c r="B43" s="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82"/>
      <c r="P43" s="183"/>
      <c r="Q43" s="2"/>
    </row>
    <row r="44" spans="1:17" ht="15.75">
      <c r="A44" s="181"/>
      <c r="B44" s="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82"/>
      <c r="P44" s="183"/>
      <c r="Q44" s="2"/>
    </row>
    <row r="45" spans="1:17" ht="15.75">
      <c r="A45" s="181"/>
      <c r="B45" s="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82"/>
      <c r="P45" s="183"/>
      <c r="Q45" s="2"/>
    </row>
    <row r="46" spans="1:17" ht="21.75" customHeight="1">
      <c r="A46" s="184"/>
      <c r="B46" s="185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2"/>
      <c r="P46" s="183"/>
      <c r="Q46" s="2"/>
    </row>
    <row r="47" spans="1:17" ht="15.7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2"/>
    </row>
    <row r="48" spans="1:17" ht="15.7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2"/>
    </row>
    <row r="49" spans="1:17" ht="15.7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2"/>
    </row>
    <row r="50" spans="1:17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2"/>
    </row>
  </sheetData>
  <printOptions/>
  <pageMargins left="0.25" right="0.25" top="1" bottom="1" header="0.5" footer="0.5"/>
  <pageSetup fitToHeight="1" fitToWidth="1" horizontalDpi="300" verticalDpi="300" orientation="landscape" paperSize="5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spread for 504</dc:title>
  <dc:subject/>
  <dc:creator>Office User</dc:creator>
  <cp:keywords/>
  <dc:description/>
  <cp:lastModifiedBy>Kisha Gant</cp:lastModifiedBy>
  <cp:lastPrinted>2008-01-15T17:44:15Z</cp:lastPrinted>
  <dcterms:created xsi:type="dcterms:W3CDTF">1997-08-18T21:20:24Z</dcterms:created>
  <dcterms:modified xsi:type="dcterms:W3CDTF">2008-01-15T17:44:55Z</dcterms:modified>
  <cp:category/>
  <cp:version/>
  <cp:contentType/>
  <cp:contentStatus/>
</cp:coreProperties>
</file>